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2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<sst xmlns="http://schemas.openxmlformats.org/spreadsheetml/2006/main" count="671" uniqueCount="461">
  <si>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</si>
  <si>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</si>
  <si>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</si>
  <si>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</si>
  <si>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</si>
  <si>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</si>
  <si>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</si>
  <si>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</si>
  <si>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</si>
  <si>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</si>
  <si>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</si>
  <si>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</si>
  <si>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</si>
  <si>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</si>
  <si>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</si>
  <si>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</si>
  <si>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</si>
  <si>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</si>
  <si>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</si>
  <si>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</si>
  <si>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</si>
  <si>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</si>
  <si>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</si>
  <si>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</si>
  <si>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</si>
  <si>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</si>
  <si>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</si>
  <si>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</si>
  <si>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</si>
  <si>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</si>
  <si>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</si>
  <si>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</si>
  <si>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</si>
  <si>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</si>
  <si>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</si>
  <si>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</si>
  <si>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</si>
  <si>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</si>
  <si>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</si>
  <si>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</si>
  <si>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</si>
  <si>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</si>
  <si>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</si>
  <si>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</si>
  <si>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</si>
  <si>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</si>
  <si>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</si>
  <si>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</si>
  <si>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</si>
  <si>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</si>
  <si>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</si>
  <si>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</si>
  <si>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</si>
  <si>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</si>
  <si>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</si>
  <si>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</si>
  <si>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</si>
  <si>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</si>
  <si>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</si>
  <si>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</si>
  <si>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</si>
  <si>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</si>
  <si>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</si>
  <si>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</si>
  <si>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</si>
  <si>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</si>
  <si>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</si>
  <si>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</si>
  <si>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</si>
  <si>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</si>
  <si>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</si>
  <si>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</si>
  <si>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</si>
  <si>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</si>
  <si>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</si>
  <si>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</si>
  <si>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</si>
  <si>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</si>
  <si>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</si>
  <si>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</si>
  <si>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</si>
  <si>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</si>
  <si>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</si>
  <si>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</si>
  <si>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</si>
  <si>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</si>
  <si>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</si>
  <si>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</si>
  <si>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</si>
  <si>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</si>
  <si>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</si>
  <si>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</si>
  <si>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</si>
  <si>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</si>
  <si>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</si>
  <si>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</si>
  <si>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</si>
  <si>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</si>
  <si>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</si>
  <si>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</si>
  <si>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</si>
  <si>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</si>
  <si>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</si>
  <si>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</si>
  <si>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</si>
  <si>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</si>
  <si>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</si>
  <si>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</si>
  <si>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</si>
  <si>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</si>
  <si>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</si>
  <si>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</si>
  <si>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</si>
  <si>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</si>
  <si>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</si>
  <si>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</si>
  <si>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</si>
  <si>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</si>
  <si>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</si>
  <si>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</si>
  <si>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</si>
  <si>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</si>
  <si>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</si>
  <si>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</si>
  <si>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</si>
  <si>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</si>
  <si>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</si>
  <si>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</si>
  <si>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</si>
  <si>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</si>
  <si>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</si>
  <si>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</si>
  <si>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</si>
  <si>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</si>
  <si>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</si>
  <si>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</si>
  <si>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</si>
  <si>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</si>
  <si>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</si>
  <si>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</si>
  <si>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</si>
  <si>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</si>
  <si>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</si>
  <si>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</si>
  <si>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</si>
  <si>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</si>
  <si>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</si>
  <si>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</si>
  <si>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</si>
  <si>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</si>
  <si>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</si>
  <si>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</si>
  <si>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</si>
  <si>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</si>
  <si>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</si>
  <si>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</si>
  <si>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</si>
  <si>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</si>
  <si>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</si>
  <si>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</si>
  <si>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</si>
  <si>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</si>
  <si>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</si>
  <si>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</si>
  <si>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</si>
  <si>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</si>
  <si>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</si>
  <si>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</si>
  <si>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</si>
  <si>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</si>
  <si>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</si>
  <si>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</si>
  <si>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</si>
  <si>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</si>
  <si>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</si>
  <si>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</si>
  <si>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</si>
  <si>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</si>
  <si>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</si>
  <si>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</si>
  <si>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</si>
  <si>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</si>
  <si>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</si>
  <si>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</si>
  <si>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</si>
  <si>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</si>
  <si>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</si>
  <si>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</si>
  <si>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</si>
  <si>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</si>
  <si>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</si>
  <si>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</si>
  <si>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</si>
  <si>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</si>
  <si>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</si>
  <si>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</si>
  <si>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</si>
  <si>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</si>
  <si>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</si>
  <si>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</si>
  <si>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</si>
  <si>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</si>
  <si>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</si>
  <si>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</si>
  <si>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</si>
  <si>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</si>
  <si>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</si>
  <si>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</si>
  <si>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</si>
  <si>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</si>
  <si>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</si>
  <si>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</si>
  <si>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</si>
  <si>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</si>
  <si>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</si>
  <si>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</si>
  <si>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</si>
  <si>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</si>
  <si>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</si>
  <si>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</si>
  <si>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</si>
  <si>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</si>
  <si>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</si>
  <si>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</si>
  <si>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</si>
  <si>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</si>
  <si>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</si>
  <si>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</si>
  <si>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</si>
  <si>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</si>
  <si>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</si>
  <si>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</si>
  <si>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</si>
  <si>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</si>
  <si>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</si>
  <si>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</si>
  <si>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</si>
  <si>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</si>
  <si>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</si>
  <si>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</si>
  <si>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</si>
  <si>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</si>
  <si>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</si>
  <si>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</si>
  <si>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</si>
  <si>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</si>
  <si>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</si>
  <si>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</si>
  <si>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</si>
  <si>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</si>
  <si>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</si>
  <si>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</si>
  <si>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</si>
  <si>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</si>
  <si>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</si>
  <si>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</si>
  <si>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</si>
  <si>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</si>
  <si>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</si>
  <si>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</si>
  <si>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</si>
  <si>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</si>
  <si>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</si>
  <si>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</si>
  <si>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</si>
  <si>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</si>
  <si>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</si>
  <si>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</si>
  <si>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</si>
  <si>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</si>
  <si>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</si>
  <si>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</si>
  <si>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</si>
  <si>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</si>
  <si>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</si>
  <si>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</si>
  <si>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</si>
  <si>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</si>
  <si>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</si>
  <si>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</si>
  <si>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</si>
  <si>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</si>
  <si>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</si>
  <si>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</si>
  <si>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</si>
  <si>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</si>
  <si>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</si>
  <si>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</si>
  <si>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</si>
  <si>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</si>
  <si>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</si>
  <si>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</si>
  <si>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</si>
  <si>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</si>
  <si>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</si>
  <si>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</si>
  <si>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</si>
  <si>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</si>
  <si>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</si>
  <si>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</si>
  <si>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</si>
  <si>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</si>
  <si>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</si>
  <si>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</si>
  <si>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</si>
  <si>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</si>
  <si>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</si>
  <si>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</si>
  <si>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</si>
  <si>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</si>
  <si>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</si>
  <si>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</si>
  <si>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</si>
  <si>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</si>
  <si>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</si>
  <si>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</si>
  <si>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</si>
  <si>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</si>
  <si>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</si>
  <si>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</si>
  <si>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</si>
  <si>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</si>
  <si>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</si>
  <si>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</si>
  <si>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</si>
  <si>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</si>
  <si>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</si>
  <si>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</si>
  <si>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</si>
  <si>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</si>
  <si>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</si>
  <si>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</si>
  <si>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</si>
  <si>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</si>
  <si>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</si>
  <si>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</si>
  <si>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</si>
  <si>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</si>
  <si>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</si>
  <si>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</si>
  <si>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</si>
  <si>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</si>
  <si>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</si>
  <si>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</si>
  <si>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</si>
  <si>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</si>
  <si>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</si>
  <si>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</si>
  <si>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</si>
  <si>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</si>
  <si>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</si>
  <si>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</si>
  <si>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</si>
  <si>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</si>
  <si>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</si>
  <si>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</si>
  <si>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</si>
  <si>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</si>
  <si>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</si>
  <si>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</si>
  <si>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</si>
  <si>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</si>
  <si>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</si>
  <si>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</si>
  <si>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</si>
  <si>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</si>
  <si>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</si>
  <si>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</si>
  <si>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</si>
  <si>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</si>
  <si>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</si>
  <si>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</si>
  <si>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</si>
  <si>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</si>
  <si>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</si>
  <si>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</si>
  <si>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</si>
  <si>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</si>
  <si>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</si>
  <si>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</si>
  <si>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</si>
  <si>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</si>
  <si>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</si>
  <si>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</si>
  <si>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</si>
  <si>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</si>
  <si>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</si>
  <si>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</si>
  <si>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</si>
  <si>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</si>
  <si>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</si>
  <si>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</si>
  <si>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</si>
  <si>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</si>
  <si>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</si>
  <si>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</si>
  <si>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</si>
  <si>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</si>
  <si>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</si>
  <si>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</si>
  <si>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</si>
  <si>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</si>
  <si>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</si>
  <si>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</si>
  <si>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</si>
  <si>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</si>
  <si>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</si>
  <si>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</si>
  <si>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</si>
  <si>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</si>
  <si>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</si>
  <si>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</si>
  <si>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</si>
  <si>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</si>
  <si>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</si>
  <si>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</si>
  <si>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</si>
  <si>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</si>
  <si>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</si>
  <si>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</si>
  <si>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</si>
  <si>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</si>
  <si>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</si>
  <si>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</si>
  <si>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</si>
  <si>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</si>
  <si>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</si>
  <si>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</si>
  <si>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</si>
  <si>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</si>
  <si>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</si>
  <si>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</si>
  <si>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</si>
  <si>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</si>
  <si>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</si>
  <si>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</si>
  <si>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</si>
  <si>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</si>
  <si>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</si>
  <si>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</si>
  <si>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</si>
  <si>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</si>
  <si>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</si>
  <si>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</si>
  <si>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</si>
  <si>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</si>
  <si>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</si>
  <si>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</si>
  <si>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</si>
  <si>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</si>
  <si>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</si>
  <si>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</si>
  <si>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</si>
  <si>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</si>
  <si>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</si>
  <si>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</si>
  <si>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</si>
  <si>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</si>
  <si>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</si>
  <si>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</si>
  <si>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ВОЕННО-ГЕОГРАФСКА СЛУЖБА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</si>
</sst>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1"/>
      <color indexed="9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3" fillId="27" borderId="8" applyNumberFormat="0" applyAlignment="0" applyProtection="0"/>
    <xf numFmtId="9" fontId="0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</cellStyleXfs>
  <cellXfs count="85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7" fillId="32" borderId="0" xfId="62" applyFont="1" applyFill="1" applyAlignment="1" applyProtection="1">
      <alignment horizontal="right"/>
      <protection/>
    </xf>
    <xf numFmtId="0" fontId="158" fillId="32" borderId="0" xfId="62" applyFont="1" applyFill="1" applyBorder="1" applyAlignment="1" applyProtection="1">
      <alignment horizontal="center"/>
      <protection/>
    </xf>
    <xf numFmtId="176" fontId="159" fillId="32" borderId="0" xfId="65" applyNumberFormat="1" applyFont="1" applyFill="1" applyAlignment="1" applyProtection="1">
      <alignment/>
      <protection/>
    </xf>
    <xf numFmtId="0" fontId="160" fillId="32" borderId="0" xfId="57" applyFont="1" applyFill="1" applyAlignment="1" applyProtection="1" quotePrefix="1">
      <alignment/>
      <protection/>
    </xf>
    <xf numFmtId="0" fontId="159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61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6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9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4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5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5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5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7" fillId="33" borderId="27" xfId="0" applyNumberFormat="1" applyFont="1" applyFill="1" applyBorder="1" applyAlignment="1" applyProtection="1">
      <alignment horizontal="center"/>
      <protection locked="0"/>
    </xf>
    <xf numFmtId="185" fontId="167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8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5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5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5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5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5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5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5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5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9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7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7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71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4" fillId="39" borderId="102" xfId="0" applyNumberFormat="1" applyFont="1" applyFill="1" applyBorder="1" applyAlignment="1" applyProtection="1" quotePrefix="1">
      <alignment horizontal="center"/>
      <protection/>
    </xf>
    <xf numFmtId="193" fontId="170" fillId="41" borderId="102" xfId="0" applyNumberFormat="1" applyFont="1" applyFill="1" applyBorder="1" applyAlignment="1" applyProtection="1" quotePrefix="1">
      <alignment horizontal="center"/>
      <protection/>
    </xf>
    <xf numFmtId="193" fontId="171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25" fillId="38" borderId="105" xfId="0" applyNumberFormat="1" applyFont="1" applyFill="1" applyBorder="1" applyAlignment="1" applyProtection="1">
      <alignment horizontal="center"/>
      <protection/>
    </xf>
    <xf numFmtId="184" fontId="172" fillId="38" borderId="104" xfId="0" applyNumberFormat="1" applyFont="1" applyFill="1" applyBorder="1" applyAlignment="1" applyProtection="1">
      <alignment horizontal="center"/>
      <protection/>
    </xf>
    <xf numFmtId="184" fontId="172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6" fillId="33" borderId="56" xfId="0" applyNumberFormat="1" applyFont="1" applyFill="1" applyBorder="1" applyAlignment="1" applyProtection="1">
      <alignment/>
      <protection/>
    </xf>
    <xf numFmtId="0" fontId="56" fillId="33" borderId="56" xfId="0" applyFont="1" applyFill="1" applyBorder="1" applyAlignment="1" applyProtection="1">
      <alignment/>
      <protection/>
    </xf>
    <xf numFmtId="176" fontId="173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5" fillId="43" borderId="108" xfId="0" applyNumberFormat="1" applyFont="1" applyFill="1" applyBorder="1" applyAlignment="1" applyProtection="1">
      <alignment/>
      <protection/>
    </xf>
    <xf numFmtId="186" fontId="35" fillId="43" borderId="92" xfId="0" applyNumberFormat="1" applyFont="1" applyFill="1" applyBorder="1" applyAlignment="1" applyProtection="1">
      <alignment/>
      <protection/>
    </xf>
    <xf numFmtId="186" fontId="35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5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74" fillId="48" borderId="0" xfId="61" applyFont="1" applyFill="1" applyBorder="1" applyAlignment="1" applyProtection="1">
      <alignment horizontal="center"/>
      <protection/>
    </xf>
    <xf numFmtId="176" fontId="17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6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5" fillId="35" borderId="0" xfId="64" applyFont="1" applyFill="1" applyBorder="1" applyAlignment="1" applyProtection="1">
      <alignment/>
      <protection/>
    </xf>
    <xf numFmtId="0" fontId="174" fillId="33" borderId="0" xfId="61" applyFont="1" applyFill="1" applyBorder="1" applyAlignment="1" applyProtection="1">
      <alignment horizontal="center"/>
      <protection/>
    </xf>
    <xf numFmtId="174" fontId="60" fillId="50" borderId="27" xfId="64" applyNumberFormat="1" applyFont="1" applyFill="1" applyBorder="1" applyAlignment="1" applyProtection="1">
      <alignment horizontal="center" vertical="center"/>
      <protection locked="0"/>
    </xf>
    <xf numFmtId="176" fontId="160" fillId="32" borderId="0" xfId="65" applyNumberFormat="1" applyFont="1" applyFill="1" applyAlignment="1" applyProtection="1">
      <alignment/>
      <protection/>
    </xf>
    <xf numFmtId="0" fontId="159" fillId="35" borderId="0" xfId="64" applyFont="1" applyFill="1" applyBorder="1" applyProtection="1">
      <alignment/>
      <protection/>
    </xf>
    <xf numFmtId="0" fontId="176" fillId="35" borderId="0" xfId="64" applyFont="1" applyFill="1" applyBorder="1" applyProtection="1">
      <alignment/>
      <protection/>
    </xf>
    <xf numFmtId="0" fontId="176" fillId="35" borderId="0" xfId="64" applyFont="1" applyFill="1" applyProtection="1">
      <alignment/>
      <protection/>
    </xf>
    <xf numFmtId="182" fontId="177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2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8" fillId="33" borderId="27" xfId="64" applyNumberFormat="1" applyFont="1" applyFill="1" applyBorder="1" applyAlignment="1" applyProtection="1">
      <alignment horizontal="center" vertical="center"/>
      <protection/>
    </xf>
    <xf numFmtId="174" fontId="179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80" fillId="33" borderId="71" xfId="0" applyNumberFormat="1" applyFont="1" applyFill="1" applyBorder="1" applyAlignment="1" applyProtection="1" quotePrefix="1">
      <alignment/>
      <protection/>
    </xf>
    <xf numFmtId="176" fontId="181" fillId="33" borderId="71" xfId="0" applyNumberFormat="1" applyFont="1" applyFill="1" applyBorder="1" applyAlignment="1" applyProtection="1" quotePrefix="1">
      <alignment/>
      <protection/>
    </xf>
    <xf numFmtId="176" fontId="180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80" fillId="33" borderId="116" xfId="0" applyNumberFormat="1" applyFont="1" applyFill="1" applyBorder="1" applyAlignment="1" applyProtection="1" quotePrefix="1">
      <alignment/>
      <protection/>
    </xf>
    <xf numFmtId="176" fontId="180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80" fillId="32" borderId="116" xfId="0" applyNumberFormat="1" applyFont="1" applyFill="1" applyBorder="1" applyAlignment="1" applyProtection="1" quotePrefix="1">
      <alignment/>
      <protection/>
    </xf>
    <xf numFmtId="176" fontId="181" fillId="32" borderId="32" xfId="0" applyNumberFormat="1" applyFont="1" applyFill="1" applyBorder="1" applyAlignment="1" applyProtection="1" quotePrefix="1">
      <alignment/>
      <protection/>
    </xf>
    <xf numFmtId="176" fontId="180" fillId="33" borderId="86" xfId="0" applyNumberFormat="1" applyFont="1" applyFill="1" applyBorder="1" applyAlignment="1" applyProtection="1" quotePrefix="1">
      <alignment/>
      <protection/>
    </xf>
    <xf numFmtId="176" fontId="181" fillId="33" borderId="87" xfId="0" applyNumberFormat="1" applyFont="1" applyFill="1" applyBorder="1" applyAlignment="1" applyProtection="1" quotePrefix="1">
      <alignment/>
      <protection/>
    </xf>
    <xf numFmtId="176" fontId="181" fillId="33" borderId="32" xfId="0" applyNumberFormat="1" applyFont="1" applyFill="1" applyBorder="1" applyAlignment="1" applyProtection="1" quotePrefix="1">
      <alignment/>
      <protection/>
    </xf>
    <xf numFmtId="0" fontId="36" fillId="33" borderId="117" xfId="64" applyFont="1" applyFill="1" applyBorder="1" applyProtection="1">
      <alignment/>
      <protection/>
    </xf>
    <xf numFmtId="0" fontId="36" fillId="33" borderId="43" xfId="64" applyFont="1" applyFill="1" applyBorder="1" applyProtection="1">
      <alignment/>
      <protection/>
    </xf>
    <xf numFmtId="0" fontId="36" fillId="33" borderId="29" xfId="64" applyFont="1" applyFill="1" applyBorder="1" applyProtection="1">
      <alignment/>
      <protection/>
    </xf>
    <xf numFmtId="184" fontId="40" fillId="51" borderId="118" xfId="0" applyNumberFormat="1" applyFont="1" applyFill="1" applyBorder="1" applyAlignment="1" applyProtection="1">
      <alignment horizontal="center"/>
      <protection/>
    </xf>
    <xf numFmtId="184" fontId="42" fillId="42" borderId="118" xfId="0" applyNumberFormat="1" applyFont="1" applyFill="1" applyBorder="1" applyAlignment="1" applyProtection="1">
      <alignment horizontal="center"/>
      <protection/>
    </xf>
    <xf numFmtId="184" fontId="182" fillId="51" borderId="118" xfId="0" applyNumberFormat="1" applyFont="1" applyFill="1" applyBorder="1" applyAlignment="1" applyProtection="1">
      <alignment horizontal="center"/>
      <protection/>
    </xf>
    <xf numFmtId="184" fontId="183" fillId="4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42" fillId="52" borderId="118" xfId="0" applyNumberFormat="1" applyFont="1" applyFill="1" applyBorder="1" applyAlignment="1" applyProtection="1">
      <alignment horizontal="center"/>
      <protection/>
    </xf>
    <xf numFmtId="184" fontId="184" fillId="52" borderId="118" xfId="0" applyNumberFormat="1" applyFont="1" applyFill="1" applyBorder="1" applyAlignment="1" applyProtection="1">
      <alignment horizontal="center"/>
      <protection/>
    </xf>
    <xf numFmtId="184" fontId="183" fillId="52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41" fillId="40" borderId="118" xfId="0" applyNumberFormat="1" applyFont="1" applyFill="1" applyBorder="1" applyAlignment="1" applyProtection="1">
      <alignment horizontal="center"/>
      <protection/>
    </xf>
    <xf numFmtId="184" fontId="185" fillId="40" borderId="118" xfId="0" applyNumberFormat="1" applyFont="1" applyFill="1" applyBorder="1" applyAlignment="1" applyProtection="1">
      <alignment horizontal="center"/>
      <protection/>
    </xf>
    <xf numFmtId="184" fontId="186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25" fillId="38" borderId="120" xfId="0" applyNumberFormat="1" applyFont="1" applyFill="1" applyBorder="1" applyAlignment="1" applyProtection="1">
      <alignment horizontal="center"/>
      <protection/>
    </xf>
    <xf numFmtId="184" fontId="172" fillId="38" borderId="119" xfId="0" applyNumberFormat="1" applyFont="1" applyFill="1" applyBorder="1" applyAlignment="1" applyProtection="1">
      <alignment horizontal="center"/>
      <protection/>
    </xf>
    <xf numFmtId="184" fontId="172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5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5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7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5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5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5" fillId="43" borderId="10" xfId="0" applyNumberFormat="1" applyFont="1" applyFill="1" applyBorder="1" applyAlignment="1" applyProtection="1">
      <alignment/>
      <protection locked="0"/>
    </xf>
    <xf numFmtId="176" fontId="173" fillId="32" borderId="0" xfId="0" applyNumberFormat="1" applyFont="1" applyFill="1" applyBorder="1" applyAlignment="1" applyProtection="1" quotePrefix="1">
      <alignment horizontal="center"/>
      <protection/>
    </xf>
    <xf numFmtId="176" fontId="173" fillId="33" borderId="0" xfId="0" applyNumberFormat="1" applyFont="1" applyFill="1" applyBorder="1" applyAlignment="1" applyProtection="1" quotePrefix="1">
      <alignment horizontal="center"/>
      <protection/>
    </xf>
    <xf numFmtId="0" fontId="174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9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0" fontId="159" fillId="32" borderId="68" xfId="57" applyFont="1" applyFill="1" applyBorder="1" quotePrefix="1">
      <alignment/>
      <protection/>
    </xf>
    <xf numFmtId="0" fontId="159" fillId="32" borderId="19" xfId="57" applyFont="1" applyFill="1" applyBorder="1" quotePrefix="1">
      <alignment/>
      <protection/>
    </xf>
    <xf numFmtId="199" fontId="24" fillId="32" borderId="69" xfId="58" applyNumberFormat="1" applyFont="1" applyFill="1" applyBorder="1" applyAlignment="1">
      <alignment/>
      <protection/>
    </xf>
    <xf numFmtId="0" fontId="159" fillId="32" borderId="17" xfId="57" applyFont="1" applyFill="1" applyBorder="1" quotePrefix="1">
      <alignment/>
      <protection/>
    </xf>
    <xf numFmtId="0" fontId="159" fillId="32" borderId="0" xfId="57" applyFont="1" applyFill="1" applyBorder="1" quotePrefix="1">
      <alignment/>
      <protection/>
    </xf>
    <xf numFmtId="199" fontId="24" fillId="32" borderId="18" xfId="58" applyNumberFormat="1" applyFont="1" applyFill="1" applyBorder="1" applyAlignment="1">
      <alignment/>
      <protection/>
    </xf>
    <xf numFmtId="0" fontId="159" fillId="32" borderId="26" xfId="57" applyFont="1" applyFill="1" applyBorder="1" quotePrefix="1">
      <alignment/>
      <protection/>
    </xf>
    <xf numFmtId="0" fontId="159" fillId="32" borderId="20" xfId="57" applyFont="1" applyFill="1" applyBorder="1" quotePrefix="1">
      <alignment/>
      <protection/>
    </xf>
    <xf numFmtId="199" fontId="24" fillId="32" borderId="21" xfId="58" applyNumberFormat="1" applyFont="1" applyFill="1" applyBorder="1" applyAlignment="1">
      <alignment/>
      <protection/>
    </xf>
    <xf numFmtId="0" fontId="159" fillId="45" borderId="68" xfId="57" applyFont="1" applyFill="1" applyBorder="1" quotePrefix="1">
      <alignment/>
      <protection/>
    </xf>
    <xf numFmtId="0" fontId="159" fillId="45" borderId="19" xfId="57" applyFont="1" applyFill="1" applyBorder="1" quotePrefix="1">
      <alignment/>
      <protection/>
    </xf>
    <xf numFmtId="199" fontId="24" fillId="45" borderId="69" xfId="58" applyNumberFormat="1" applyFont="1" applyFill="1" applyBorder="1" applyAlignment="1">
      <alignment/>
      <protection/>
    </xf>
    <xf numFmtId="0" fontId="159" fillId="45" borderId="17" xfId="57" applyFont="1" applyFill="1" applyBorder="1" quotePrefix="1">
      <alignment/>
      <protection/>
    </xf>
    <xf numFmtId="0" fontId="159" fillId="45" borderId="0" xfId="57" applyFont="1" applyFill="1" applyBorder="1" quotePrefix="1">
      <alignment/>
      <protection/>
    </xf>
    <xf numFmtId="199" fontId="24" fillId="45" borderId="18" xfId="58" applyNumberFormat="1" applyFont="1" applyFill="1" applyBorder="1" applyAlignment="1">
      <alignment/>
      <protection/>
    </xf>
    <xf numFmtId="0" fontId="159" fillId="45" borderId="26" xfId="57" applyFont="1" applyFill="1" applyBorder="1" quotePrefix="1">
      <alignment/>
      <protection/>
    </xf>
    <xf numFmtId="0" fontId="159" fillId="45" borderId="20" xfId="57" applyFont="1" applyFill="1" applyBorder="1" quotePrefix="1">
      <alignment/>
      <protection/>
    </xf>
    <xf numFmtId="199" fontId="24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8" fillId="39" borderId="27" xfId="0" applyNumberFormat="1" applyFont="1" applyFill="1" applyBorder="1" applyAlignment="1" applyProtection="1">
      <alignment horizontal="center"/>
      <protection/>
    </xf>
    <xf numFmtId="182" fontId="189" fillId="39" borderId="27" xfId="0" applyNumberFormat="1" applyFont="1" applyFill="1" applyBorder="1" applyAlignment="1" applyProtection="1">
      <alignment horizontal="center"/>
      <protection/>
    </xf>
    <xf numFmtId="193" fontId="164" fillId="39" borderId="27" xfId="0" applyNumberFormat="1" applyFont="1" applyFill="1" applyBorder="1" applyAlignment="1" applyProtection="1" quotePrefix="1">
      <alignment horizontal="center"/>
      <protection/>
    </xf>
    <xf numFmtId="181" fontId="165" fillId="41" borderId="27" xfId="0" applyNumberFormat="1" applyFont="1" applyFill="1" applyBorder="1" applyAlignment="1" applyProtection="1" quotePrefix="1">
      <alignment horizontal="center"/>
      <protection/>
    </xf>
    <xf numFmtId="193" fontId="170" fillId="41" borderId="27" xfId="0" applyNumberFormat="1" applyFont="1" applyFill="1" applyBorder="1" applyAlignment="1" applyProtection="1" quotePrefix="1">
      <alignment horizontal="center"/>
      <protection/>
    </xf>
    <xf numFmtId="181" fontId="170" fillId="41" borderId="27" xfId="0" applyNumberFormat="1" applyFont="1" applyFill="1" applyBorder="1" applyAlignment="1" applyProtection="1" quotePrefix="1">
      <alignment horizontal="center"/>
      <protection/>
    </xf>
    <xf numFmtId="181" fontId="177" fillId="49" borderId="27" xfId="0" applyNumberFormat="1" applyFont="1" applyFill="1" applyBorder="1" applyAlignment="1" applyProtection="1" quotePrefix="1">
      <alignment horizontal="center"/>
      <protection/>
    </xf>
    <xf numFmtId="193" fontId="171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90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5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25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81" fontId="24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91" fillId="39" borderId="102" xfId="0" applyNumberFormat="1" applyFont="1" applyFill="1" applyBorder="1" applyAlignment="1" applyProtection="1" quotePrefix="1">
      <alignment horizontal="center"/>
      <protection/>
    </xf>
    <xf numFmtId="213" fontId="165" fillId="41" borderId="102" xfId="0" applyNumberFormat="1" applyFont="1" applyFill="1" applyBorder="1" applyAlignment="1" applyProtection="1" quotePrefix="1">
      <alignment horizontal="center"/>
      <protection/>
    </xf>
    <xf numFmtId="213" fontId="177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92" fillId="32" borderId="45" xfId="0" applyNumberFormat="1" applyFont="1" applyFill="1" applyBorder="1" applyAlignment="1" applyProtection="1">
      <alignment horizontal="center"/>
      <protection locked="0"/>
    </xf>
    <xf numFmtId="213" fontId="191" fillId="39" borderId="27" xfId="0" applyNumberFormat="1" applyFont="1" applyFill="1" applyBorder="1" applyAlignment="1" applyProtection="1">
      <alignment horizontal="center"/>
      <protection/>
    </xf>
    <xf numFmtId="213" fontId="165" fillId="41" borderId="27" xfId="0" applyNumberFormat="1" applyFont="1" applyFill="1" applyBorder="1" applyAlignment="1" applyProtection="1" quotePrefix="1">
      <alignment horizontal="center"/>
      <protection/>
    </xf>
    <xf numFmtId="213" fontId="177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3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72" fillId="32" borderId="0" xfId="57" applyNumberFormat="1" applyFont="1" applyFill="1" applyBorder="1" applyAlignment="1">
      <alignment horizontal="left"/>
      <protection/>
    </xf>
    <xf numFmtId="178" fontId="73" fillId="45" borderId="0" xfId="57" applyNumberFormat="1" applyFont="1" applyFill="1" applyBorder="1" applyAlignment="1">
      <alignment horizontal="center"/>
      <protection/>
    </xf>
    <xf numFmtId="181" fontId="73" fillId="45" borderId="0" xfId="57" applyNumberFormat="1" applyFont="1" applyFill="1" applyBorder="1" applyAlignment="1">
      <alignment horizontal="center"/>
      <protection/>
    </xf>
    <xf numFmtId="181" fontId="72" fillId="32" borderId="0" xfId="57" applyNumberFormat="1" applyFont="1" applyFill="1" applyBorder="1" applyAlignment="1">
      <alignment horizontal="center"/>
      <protection/>
    </xf>
    <xf numFmtId="178" fontId="7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72" fillId="33" borderId="0" xfId="57" applyNumberFormat="1" applyFont="1" applyFill="1" applyBorder="1" applyAlignment="1">
      <alignment/>
      <protection/>
    </xf>
    <xf numFmtId="181" fontId="72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72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72" fillId="33" borderId="0" xfId="57" applyNumberFormat="1" applyFont="1" applyFill="1" applyBorder="1" applyAlignment="1">
      <alignment/>
      <protection/>
    </xf>
    <xf numFmtId="202" fontId="72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72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72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72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72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72" fillId="38" borderId="0" xfId="57" applyNumberFormat="1" applyFont="1" applyFill="1" applyBorder="1" applyAlignment="1">
      <alignment/>
      <protection/>
    </xf>
    <xf numFmtId="212" fontId="72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72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72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72" fillId="32" borderId="20" xfId="57" applyNumberFormat="1" applyFont="1" applyFill="1" applyBorder="1">
      <alignment/>
      <protection/>
    </xf>
    <xf numFmtId="178" fontId="72" fillId="32" borderId="20" xfId="57" applyNumberFormat="1" applyFont="1" applyFill="1" applyBorder="1" applyAlignment="1">
      <alignment horizontal="left"/>
      <protection/>
    </xf>
    <xf numFmtId="186" fontId="3" fillId="32" borderId="83" xfId="0" applyNumberFormat="1" applyFont="1" applyFill="1" applyBorder="1" applyAlignment="1" applyProtection="1">
      <alignment/>
      <protection locked="0"/>
    </xf>
    <xf numFmtId="1" fontId="56" fillId="33" borderId="28" xfId="0" applyNumberFormat="1" applyFont="1" applyFill="1" applyBorder="1" applyAlignment="1" applyProtection="1">
      <alignment horizontal="center"/>
      <protection locked="0"/>
    </xf>
    <xf numFmtId="1" fontId="56" fillId="33" borderId="43" xfId="0" applyNumberFormat="1" applyFont="1" applyFill="1" applyBorder="1" applyAlignment="1" applyProtection="1">
      <alignment horizontal="center"/>
      <protection locked="0"/>
    </xf>
    <xf numFmtId="1" fontId="56" fillId="33" borderId="29" xfId="0" applyNumberFormat="1" applyFont="1" applyFill="1" applyBorder="1" applyAlignment="1" applyProtection="1">
      <alignment horizontal="center"/>
      <protection locked="0"/>
    </xf>
    <xf numFmtId="202" fontId="72" fillId="33" borderId="0" xfId="57" applyNumberFormat="1" applyFont="1" applyFill="1" applyBorder="1" applyAlignment="1">
      <alignment horizontal="center"/>
      <protection/>
    </xf>
    <xf numFmtId="204" fontId="61" fillId="32" borderId="19" xfId="58" applyNumberFormat="1" applyFont="1" applyFill="1" applyBorder="1" applyAlignment="1">
      <alignment horizontal="center"/>
      <protection/>
    </xf>
    <xf numFmtId="181" fontId="72" fillId="32" borderId="0" xfId="57" applyNumberFormat="1" applyFont="1" applyFill="1" applyBorder="1" applyAlignment="1">
      <alignment horizontal="center"/>
      <protection/>
    </xf>
    <xf numFmtId="179" fontId="72" fillId="33" borderId="0" xfId="57" applyNumberFormat="1" applyFont="1" applyFill="1" applyBorder="1" applyAlignment="1">
      <alignment horizontal="center"/>
      <protection/>
    </xf>
    <xf numFmtId="200" fontId="61" fillId="45" borderId="0" xfId="58" applyNumberFormat="1" applyFont="1" applyFill="1" applyBorder="1" applyAlignment="1">
      <alignment horizontal="center"/>
      <protection/>
    </xf>
    <xf numFmtId="205" fontId="61" fillId="32" borderId="0" xfId="58" applyNumberFormat="1" applyFont="1" applyFill="1" applyBorder="1" applyAlignment="1">
      <alignment horizontal="center"/>
      <protection/>
    </xf>
    <xf numFmtId="206" fontId="61" fillId="32" borderId="20" xfId="58" applyNumberFormat="1" applyFont="1" applyFill="1" applyBorder="1" applyAlignment="1">
      <alignment horizontal="center"/>
      <protection/>
    </xf>
    <xf numFmtId="197" fontId="72" fillId="33" borderId="0" xfId="58" applyNumberFormat="1" applyFont="1" applyFill="1" applyBorder="1" applyAlignment="1">
      <alignment horizontal="center"/>
      <protection/>
    </xf>
    <xf numFmtId="197" fontId="72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61" fillId="45" borderId="0" xfId="58" applyNumberFormat="1" applyFont="1" applyFill="1" applyBorder="1" applyAlignment="1">
      <alignment horizontal="center"/>
      <protection/>
    </xf>
    <xf numFmtId="206" fontId="61" fillId="45" borderId="20" xfId="58" applyNumberFormat="1" applyFont="1" applyFill="1" applyBorder="1" applyAlignment="1">
      <alignment horizontal="center"/>
      <protection/>
    </xf>
    <xf numFmtId="204" fontId="61" fillId="45" borderId="19" xfId="58" applyNumberFormat="1" applyFont="1" applyFill="1" applyBorder="1" applyAlignment="1">
      <alignment horizontal="center"/>
      <protection/>
    </xf>
    <xf numFmtId="179" fontId="72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181" fontId="72" fillId="45" borderId="0" xfId="57" applyNumberFormat="1" applyFont="1" applyFill="1" applyBorder="1" applyAlignment="1">
      <alignment horizontal="center"/>
      <protection/>
    </xf>
    <xf numFmtId="197" fontId="72" fillId="32" borderId="0" xfId="58" applyNumberFormat="1" applyFont="1" applyFill="1" applyBorder="1" applyAlignment="1">
      <alignment horizontal="center"/>
      <protection/>
    </xf>
    <xf numFmtId="199" fontId="61" fillId="45" borderId="19" xfId="58" applyNumberFormat="1" applyFont="1" applyFill="1" applyBorder="1" applyAlignment="1">
      <alignment horizontal="center"/>
      <protection/>
    </xf>
    <xf numFmtId="201" fontId="61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72" fillId="33" borderId="0" xfId="57" applyNumberFormat="1" applyFont="1" applyFill="1" applyBorder="1" applyAlignment="1">
      <alignment horizontal="center"/>
      <protection/>
    </xf>
    <xf numFmtId="179" fontId="72" fillId="45" borderId="0" xfId="57" applyNumberFormat="1" applyFont="1" applyFill="1" applyBorder="1" applyAlignment="1">
      <alignment horizontal="center"/>
      <protection/>
    </xf>
    <xf numFmtId="180" fontId="72" fillId="38" borderId="0" xfId="57" applyNumberFormat="1" applyFont="1" applyFill="1" applyBorder="1" applyAlignment="1">
      <alignment horizontal="left"/>
      <protection/>
    </xf>
    <xf numFmtId="201" fontId="61" fillId="45" borderId="20" xfId="58" applyNumberFormat="1" applyFont="1" applyFill="1" applyBorder="1" applyAlignment="1">
      <alignment horizontal="center"/>
      <protection/>
    </xf>
    <xf numFmtId="199" fontId="61" fillId="32" borderId="19" xfId="58" applyNumberFormat="1" applyFont="1" applyFill="1" applyBorder="1" applyAlignment="1">
      <alignment horizontal="center"/>
      <protection/>
    </xf>
    <xf numFmtId="200" fontId="61" fillId="32" borderId="0" xfId="58" applyNumberFormat="1" applyFont="1" applyFill="1" applyBorder="1" applyAlignment="1">
      <alignment horizontal="center"/>
      <protection/>
    </xf>
    <xf numFmtId="181" fontId="24" fillId="32" borderId="0" xfId="57" applyNumberFormat="1" applyFont="1" applyFill="1" applyBorder="1" applyAlignment="1">
      <alignment horizontal="center"/>
      <protection/>
    </xf>
    <xf numFmtId="178" fontId="72" fillId="32" borderId="0" xfId="57" applyNumberFormat="1" applyFont="1" applyFill="1" applyBorder="1" applyAlignment="1">
      <alignment horizontal="center"/>
      <protection/>
    </xf>
    <xf numFmtId="180" fontId="72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72" fillId="38" borderId="0" xfId="57" applyNumberFormat="1" applyFont="1" applyFill="1" applyBorder="1" applyAlignment="1">
      <alignment horizontal="center"/>
      <protection/>
    </xf>
    <xf numFmtId="0" fontId="194" fillId="55" borderId="0" xfId="63" applyFont="1" applyFill="1" applyBorder="1" applyAlignment="1">
      <alignment horizontal="center"/>
      <protection/>
    </xf>
    <xf numFmtId="210" fontId="195" fillId="55" borderId="0" xfId="63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208" fontId="196" fillId="48" borderId="43" xfId="65" applyNumberFormat="1" applyFont="1" applyFill="1" applyBorder="1" applyAlignment="1" applyProtection="1">
      <alignment horizontal="left"/>
      <protection/>
    </xf>
    <xf numFmtId="208" fontId="196" fillId="48" borderId="29" xfId="65" applyNumberFormat="1" applyFont="1" applyFill="1" applyBorder="1" applyAlignment="1" applyProtection="1">
      <alignment horizontal="left"/>
      <protection/>
    </xf>
    <xf numFmtId="0" fontId="195" fillId="55" borderId="0" xfId="57" applyFont="1" applyFill="1" applyAlignment="1" applyProtection="1" quotePrefix="1">
      <alignment horizontal="center"/>
      <protection/>
    </xf>
    <xf numFmtId="211" fontId="195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7" fillId="33" borderId="47" xfId="65" applyNumberFormat="1" applyFont="1" applyFill="1" applyBorder="1" applyAlignment="1" applyProtection="1">
      <alignment horizontal="center"/>
      <protection/>
    </xf>
    <xf numFmtId="38" fontId="197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7" fillId="33" borderId="49" xfId="65" applyNumberFormat="1" applyFont="1" applyFill="1" applyBorder="1" applyAlignment="1" applyProtection="1">
      <alignment horizontal="center"/>
      <protection/>
    </xf>
    <xf numFmtId="38" fontId="197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6" fillId="33" borderId="28" xfId="0" applyNumberFormat="1" applyFont="1" applyFill="1" applyBorder="1" applyAlignment="1" applyProtection="1">
      <alignment horizontal="center"/>
      <protection locked="0"/>
    </xf>
    <xf numFmtId="1" fontId="56" fillId="33" borderId="43" xfId="0" applyNumberFormat="1" applyFont="1" applyFill="1" applyBorder="1" applyAlignment="1" applyProtection="1">
      <alignment horizontal="center"/>
      <protection locked="0"/>
    </xf>
    <xf numFmtId="1" fontId="56" fillId="33" borderId="29" xfId="0" applyNumberFormat="1" applyFont="1" applyFill="1" applyBorder="1" applyAlignment="1" applyProtection="1">
      <alignment horizontal="center"/>
      <protection locked="0"/>
    </xf>
    <xf numFmtId="0" fontId="198" fillId="33" borderId="61" xfId="61" applyFont="1" applyFill="1" applyBorder="1" applyAlignment="1" applyProtection="1">
      <alignment horizontal="center"/>
      <protection/>
    </xf>
    <xf numFmtId="0" fontId="198" fillId="33" borderId="0" xfId="61" applyFont="1" applyFill="1" applyBorder="1" applyAlignment="1" applyProtection="1">
      <alignment horizontal="center"/>
      <protection/>
    </xf>
    <xf numFmtId="0" fontId="198" fillId="33" borderId="30" xfId="61" applyFont="1" applyFill="1" applyBorder="1" applyAlignment="1" applyProtection="1">
      <alignment horizontal="center"/>
      <protection/>
    </xf>
    <xf numFmtId="189" fontId="160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60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9" fillId="36" borderId="28" xfId="53" applyFill="1" applyBorder="1" applyAlignment="1" applyProtection="1">
      <alignment horizontal="center" vertical="center"/>
      <protection locked="0"/>
    </xf>
    <xf numFmtId="0" fontId="199" fillId="36" borderId="43" xfId="53" applyFont="1" applyFill="1" applyBorder="1" applyAlignment="1" applyProtection="1">
      <alignment horizontal="center" vertical="center"/>
      <protection locked="0"/>
    </xf>
    <xf numFmtId="0" fontId="199" fillId="36" borderId="29" xfId="53" applyFont="1" applyFill="1" applyBorder="1" applyAlignment="1" applyProtection="1">
      <alignment horizontal="center" vertical="center"/>
      <protection locked="0"/>
    </xf>
    <xf numFmtId="38" fontId="149" fillId="33" borderId="28" xfId="53" applyNumberFormat="1" applyFill="1" applyBorder="1" applyAlignment="1" applyProtection="1">
      <alignment horizontal="center" vertical="center"/>
      <protection locked="0"/>
    </xf>
    <xf numFmtId="38" fontId="200" fillId="33" borderId="43" xfId="53" applyNumberFormat="1" applyFont="1" applyFill="1" applyBorder="1" applyAlignment="1" applyProtection="1">
      <alignment horizontal="center" vertical="center"/>
      <protection locked="0"/>
    </xf>
    <xf numFmtId="38" fontId="200" fillId="33" borderId="29" xfId="53" applyNumberFormat="1" applyFont="1" applyFill="1" applyBorder="1" applyAlignment="1" applyProtection="1">
      <alignment horizontal="center" vertical="center"/>
      <protection locked="0"/>
    </xf>
    <xf numFmtId="0" fontId="201" fillId="32" borderId="0" xfId="60" applyFont="1" applyFill="1" applyBorder="1" applyAlignment="1" applyProtection="1">
      <alignment horizontal="center"/>
      <protection/>
    </xf>
    <xf numFmtId="187" fontId="165" fillId="33" borderId="28" xfId="60" applyNumberFormat="1" applyFont="1" applyFill="1" applyBorder="1" applyAlignment="1" applyProtection="1">
      <alignment horizontal="center"/>
      <protection/>
    </xf>
    <xf numFmtId="187" fontId="165" fillId="33" borderId="43" xfId="60" applyNumberFormat="1" applyFont="1" applyFill="1" applyBorder="1" applyAlignment="1" applyProtection="1">
      <alignment horizontal="center"/>
      <protection/>
    </xf>
    <xf numFmtId="187" fontId="165" fillId="33" borderId="29" xfId="60" applyNumberFormat="1" applyFont="1" applyFill="1" applyBorder="1" applyAlignment="1" applyProtection="1">
      <alignment horizontal="center"/>
      <protection/>
    </xf>
    <xf numFmtId="0" fontId="58" fillId="50" borderId="133" xfId="64" applyFont="1" applyFill="1" applyBorder="1" applyAlignment="1" applyProtection="1" quotePrefix="1">
      <alignment horizontal="center" wrapText="1"/>
      <protection locked="0"/>
    </xf>
    <xf numFmtId="0" fontId="58" fillId="50" borderId="53" xfId="64" applyFont="1" applyFill="1" applyBorder="1" applyAlignment="1" applyProtection="1">
      <alignment horizontal="center" wrapText="1"/>
      <protection locked="0"/>
    </xf>
    <xf numFmtId="0" fontId="58" fillId="50" borderId="134" xfId="64" applyFont="1" applyFill="1" applyBorder="1" applyAlignment="1" applyProtection="1">
      <alignment horizontal="center" wrapText="1"/>
      <protection locked="0"/>
    </xf>
    <xf numFmtId="0" fontId="202" fillId="32" borderId="45" xfId="57" applyFont="1" applyFill="1" applyBorder="1" applyAlignment="1" applyProtection="1" quotePrefix="1">
      <alignment horizontal="center"/>
      <protection/>
    </xf>
    <xf numFmtId="0" fontId="203" fillId="38" borderId="26" xfId="64" applyFont="1" applyFill="1" applyBorder="1" applyAlignment="1" applyProtection="1">
      <alignment horizontal="center" vertical="center" wrapText="1"/>
      <protection locked="0"/>
    </xf>
    <xf numFmtId="0" fontId="203" fillId="38" borderId="20" xfId="64" applyFont="1" applyFill="1" applyBorder="1" applyAlignment="1" applyProtection="1">
      <alignment horizontal="center" vertical="center" wrapText="1"/>
      <protection locked="0"/>
    </xf>
    <xf numFmtId="0" fontId="203" fillId="38" borderId="21" xfId="64" applyFont="1" applyFill="1" applyBorder="1" applyAlignment="1" applyProtection="1">
      <alignment horizontal="center" vertical="center" wrapText="1"/>
      <protection locked="0"/>
    </xf>
    <xf numFmtId="0" fontId="174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204" fillId="32" borderId="0" xfId="60" applyNumberFormat="1" applyFont="1" applyFill="1" applyBorder="1" applyAlignment="1" applyProtection="1">
      <alignment horizontal="center"/>
      <protection/>
    </xf>
    <xf numFmtId="0" fontId="160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8" fillId="46" borderId="65" xfId="65" applyNumberFormat="1" applyFont="1" applyFill="1" applyBorder="1" applyAlignment="1" applyProtection="1">
      <alignment horizontal="center"/>
      <protection/>
    </xf>
    <xf numFmtId="38" fontId="168" fillId="46" borderId="20" xfId="65" applyNumberFormat="1" applyFont="1" applyFill="1" applyBorder="1" applyAlignment="1" applyProtection="1">
      <alignment horizontal="center"/>
      <protection/>
    </xf>
    <xf numFmtId="38" fontId="168" fillId="46" borderId="58" xfId="65" applyNumberFormat="1" applyFont="1" applyFill="1" applyBorder="1" applyAlignment="1" applyProtection="1">
      <alignment horizontal="center"/>
      <protection/>
    </xf>
    <xf numFmtId="38" fontId="50" fillId="33" borderId="62" xfId="65" applyNumberFormat="1" applyFont="1" applyFill="1" applyBorder="1" applyAlignment="1" applyProtection="1">
      <alignment horizontal="center"/>
      <protection/>
    </xf>
    <xf numFmtId="38" fontId="50" fillId="33" borderId="45" xfId="65" applyNumberFormat="1" applyFont="1" applyFill="1" applyBorder="1" applyAlignment="1" applyProtection="1">
      <alignment horizontal="center"/>
      <protection/>
    </xf>
    <xf numFmtId="38" fontId="50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7" fillId="43" borderId="42" xfId="65" applyNumberFormat="1" applyFont="1" applyFill="1" applyBorder="1" applyAlignment="1" applyProtection="1">
      <alignment horizontal="center"/>
      <protection/>
    </xf>
    <xf numFmtId="38" fontId="187" fillId="43" borderId="43" xfId="65" applyNumberFormat="1" applyFont="1" applyFill="1" applyBorder="1" applyAlignment="1" applyProtection="1">
      <alignment horizontal="center"/>
      <protection/>
    </xf>
    <xf numFmtId="38" fontId="187" fillId="43" borderId="44" xfId="65" applyNumberFormat="1" applyFont="1" applyFill="1" applyBorder="1" applyAlignment="1" applyProtection="1">
      <alignment horizontal="center"/>
      <protection/>
    </xf>
    <xf numFmtId="188" fontId="205" fillId="45" borderId="28" xfId="57" applyNumberFormat="1" applyFont="1" applyFill="1" applyBorder="1" applyAlignment="1" applyProtection="1">
      <alignment horizontal="center" vertical="center"/>
      <protection locked="0"/>
    </xf>
    <xf numFmtId="188" fontId="205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206" fillId="32" borderId="0" xfId="0" applyNumberFormat="1" applyFont="1" applyFill="1" applyAlignment="1" applyProtection="1">
      <alignment horizontal="center"/>
      <protection/>
    </xf>
    <xf numFmtId="209" fontId="206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205" fillId="45" borderId="28" xfId="57" applyNumberFormat="1" applyFont="1" applyFill="1" applyBorder="1" applyAlignment="1" applyProtection="1">
      <alignment horizontal="center" vertical="center"/>
      <protection/>
    </xf>
    <xf numFmtId="188" fontId="205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61" fillId="33" borderId="26" xfId="64" applyFont="1" applyFill="1" applyBorder="1" applyAlignment="1" applyProtection="1">
      <alignment horizontal="center" vertical="center" wrapText="1"/>
      <protection/>
    </xf>
    <xf numFmtId="0" fontId="61" fillId="33" borderId="20" xfId="64" applyFont="1" applyFill="1" applyBorder="1" applyAlignment="1" applyProtection="1">
      <alignment horizontal="center" vertical="center" wrapText="1"/>
      <protection/>
    </xf>
    <xf numFmtId="0" fontId="61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7" fillId="36" borderId="28" xfId="53" applyFont="1" applyFill="1" applyBorder="1" applyAlignment="1" applyProtection="1">
      <alignment horizontal="center" vertical="center"/>
      <protection/>
    </xf>
    <xf numFmtId="0" fontId="207" fillId="36" borderId="43" xfId="53" applyFont="1" applyFill="1" applyBorder="1" applyAlignment="1" applyProtection="1">
      <alignment horizontal="center" vertical="center"/>
      <protection/>
    </xf>
    <xf numFmtId="0" fontId="207" fillId="36" borderId="29" xfId="53" applyFont="1" applyFill="1" applyBorder="1" applyAlignment="1" applyProtection="1">
      <alignment horizontal="center" vertic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204" fillId="33" borderId="0" xfId="60" applyNumberFormat="1" applyFont="1" applyFill="1" applyBorder="1" applyAlignment="1" applyProtection="1">
      <alignment horizontal="center"/>
      <protection/>
    </xf>
    <xf numFmtId="0" fontId="202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8" fillId="33" borderId="116" xfId="61" applyFont="1" applyFill="1" applyBorder="1" applyAlignment="1" applyProtection="1">
      <alignment horizontal="center"/>
      <protection/>
    </xf>
    <xf numFmtId="0" fontId="198" fillId="33" borderId="135" xfId="61" applyFont="1" applyFill="1" applyBorder="1" applyAlignment="1" applyProtection="1">
      <alignment horizontal="center"/>
      <protection/>
    </xf>
    <xf numFmtId="210" fontId="208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89">
        <f>+'Cash-Flow-2022-Leva'!P5</f>
        <v>2022</v>
      </c>
      <c r="M2" s="68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97">
        <f>+'Cash-Flow-2022-Leva'!P5</f>
        <v>2022</v>
      </c>
      <c r="I7" s="697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99">
        <f>+'Cash-Flow-2022-Leva'!P5</f>
        <v>2022</v>
      </c>
      <c r="G30" s="699"/>
      <c r="H30" s="699"/>
      <c r="I30" s="699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2">
        <f>+H7</f>
        <v>2022</v>
      </c>
      <c r="H37" s="672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91">
        <f>+F30-1</f>
        <v>2021</v>
      </c>
      <c r="M40" s="69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90">
        <f>+H7-1</f>
        <v>2021</v>
      </c>
      <c r="H42" s="69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2">
        <f>+H7</f>
        <v>2022</v>
      </c>
      <c r="J57" s="672"/>
      <c r="K57" s="625" t="s">
        <v>401</v>
      </c>
      <c r="L57" s="670">
        <f>+H7</f>
        <v>2022</v>
      </c>
      <c r="M57" s="670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94">
        <f>+H7</f>
        <v>2022</v>
      </c>
      <c r="F59" s="694"/>
      <c r="G59" s="694"/>
      <c r="H59" s="694"/>
      <c r="I59" s="694"/>
      <c r="J59" s="69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95">
        <f>+H7</f>
        <v>2022</v>
      </c>
      <c r="F60" s="695"/>
      <c r="G60" s="695"/>
      <c r="H60" s="695"/>
      <c r="I60" s="695"/>
      <c r="J60" s="69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88">
        <f>+H7</f>
        <v>2022</v>
      </c>
      <c r="F61" s="688"/>
      <c r="G61" s="688"/>
      <c r="H61" s="688"/>
      <c r="I61" s="688"/>
      <c r="J61" s="688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3">
        <f>+H7</f>
        <v>2022</v>
      </c>
      <c r="J75" s="673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2">
        <f>+H7</f>
        <v>2022</v>
      </c>
      <c r="J82" s="672"/>
      <c r="K82" s="625" t="s">
        <v>412</v>
      </c>
      <c r="L82" s="670">
        <f>+H7</f>
        <v>2022</v>
      </c>
      <c r="M82" s="670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71">
        <f>+H7</f>
        <v>2022</v>
      </c>
      <c r="F84" s="671"/>
      <c r="G84" s="671"/>
      <c r="H84" s="671"/>
      <c r="I84" s="671"/>
      <c r="J84" s="671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675">
        <f>+H7</f>
        <v>2022</v>
      </c>
      <c r="F85" s="675"/>
      <c r="G85" s="675"/>
      <c r="H85" s="675"/>
      <c r="I85" s="675"/>
      <c r="J85" s="675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676">
        <f>+H7</f>
        <v>2022</v>
      </c>
      <c r="F86" s="676"/>
      <c r="G86" s="676"/>
      <c r="H86" s="676"/>
      <c r="I86" s="676"/>
      <c r="J86" s="676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78">
        <f>+H7-1</f>
        <v>2021</v>
      </c>
      <c r="L97" s="678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5">
        <f>+H7-1</f>
        <v>2021</v>
      </c>
      <c r="J98" s="685"/>
      <c r="K98" s="625" t="s">
        <v>401</v>
      </c>
      <c r="L98" s="670">
        <f>+H7</f>
        <v>2022</v>
      </c>
      <c r="M98" s="670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7">
        <f>+H7-1</f>
        <v>2021</v>
      </c>
      <c r="F100" s="687"/>
      <c r="G100" s="687"/>
      <c r="H100" s="687"/>
      <c r="I100" s="687"/>
      <c r="J100" s="687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74">
        <f>+H7-1</f>
        <v>2021</v>
      </c>
      <c r="F101" s="674"/>
      <c r="G101" s="674"/>
      <c r="H101" s="674"/>
      <c r="I101" s="674"/>
      <c r="J101" s="674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93">
        <f>+H7-1</f>
        <v>2021</v>
      </c>
      <c r="F102" s="693"/>
      <c r="G102" s="693"/>
      <c r="H102" s="693"/>
      <c r="I102" s="693"/>
      <c r="J102" s="69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3">
        <f>+H7</f>
        <v>2022</v>
      </c>
      <c r="J116" s="673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78">
        <f>+H7-1</f>
        <v>2021</v>
      </c>
      <c r="L122" s="678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5">
        <f>+H7-1</f>
        <v>2021</v>
      </c>
      <c r="J123" s="685"/>
      <c r="K123" s="625" t="s">
        <v>412</v>
      </c>
      <c r="L123" s="670">
        <f>+H7</f>
        <v>2022</v>
      </c>
      <c r="M123" s="670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82">
        <f>+H7-1</f>
        <v>2021</v>
      </c>
      <c r="F125" s="682"/>
      <c r="G125" s="682"/>
      <c r="H125" s="682"/>
      <c r="I125" s="682"/>
      <c r="J125" s="682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80">
        <f>+H7-1</f>
        <v>2021</v>
      </c>
      <c r="F126" s="680"/>
      <c r="G126" s="680"/>
      <c r="H126" s="680"/>
      <c r="I126" s="680"/>
      <c r="J126" s="680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81">
        <f>+H7-1</f>
        <v>2021</v>
      </c>
      <c r="F127" s="681"/>
      <c r="G127" s="681"/>
      <c r="H127" s="681"/>
      <c r="I127" s="681"/>
      <c r="J127" s="681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84">
        <f>+H7</f>
        <v>2022</v>
      </c>
      <c r="K136" s="684"/>
      <c r="L136" s="684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96">
        <f>+H7</f>
        <v>2022</v>
      </c>
      <c r="I137" s="696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704">
        <f>+H7</f>
        <v>2022</v>
      </c>
      <c r="J138" s="704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705">
        <f>+H7</f>
        <v>2022</v>
      </c>
      <c r="K144" s="705"/>
      <c r="L144" s="705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96">
        <f>+H14</f>
        <v>2022</v>
      </c>
      <c r="J145" s="696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79">
        <f>+H7</f>
        <v>2022</v>
      </c>
      <c r="L160" s="679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702" t="s">
        <v>345</v>
      </c>
      <c r="G164" s="702"/>
      <c r="H164" s="702"/>
      <c r="I164" s="702"/>
      <c r="J164" s="702"/>
      <c r="K164" s="702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702" t="s">
        <v>346</v>
      </c>
      <c r="G165" s="702"/>
      <c r="H165" s="702"/>
      <c r="I165" s="702"/>
      <c r="J165" s="702"/>
      <c r="K165" s="702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700">
        <f>+'Cash-Flow-2022-Leva'!P5</f>
        <v>2022</v>
      </c>
      <c r="G167" s="700"/>
      <c r="H167" s="700"/>
      <c r="I167" s="700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701">
        <f>+'Cash-Flow-2022-Leva'!P5</f>
        <v>2022</v>
      </c>
      <c r="H168" s="701"/>
      <c r="I168" s="701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3">
        <f>+'Cash-Flow-2022-Leva'!P5</f>
        <v>2022</v>
      </c>
      <c r="G169" s="673"/>
      <c r="H169" s="673"/>
      <c r="I169" s="673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3">
        <f>+'Cash-Flow-2022-Leva'!P5</f>
        <v>2022</v>
      </c>
      <c r="F185" s="673"/>
      <c r="G185" s="673"/>
      <c r="H185" s="673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83">
        <f>+'Cash-Flow-2022-Leva'!P5</f>
        <v>2022</v>
      </c>
      <c r="L186" s="683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92">
        <f>H7</f>
        <v>2022</v>
      </c>
      <c r="E189" s="69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702" t="s">
        <v>345</v>
      </c>
      <c r="G191" s="702"/>
      <c r="H191" s="702"/>
      <c r="I191" s="702"/>
      <c r="J191" s="702"/>
      <c r="K191" s="702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703">
        <f>+L2</f>
        <v>2022</v>
      </c>
      <c r="G192" s="703"/>
      <c r="H192" s="703"/>
      <c r="I192" s="703"/>
      <c r="J192" s="703"/>
      <c r="K192" s="703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8">
        <f>+'Cash-Flow-2022-Leva'!P5</f>
        <v>2022</v>
      </c>
      <c r="I194" s="698"/>
      <c r="J194" s="698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view="pageBreakPreview" zoomScale="60" zoomScaleNormal="77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IV1638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43" t="s">
        <v>460</v>
      </c>
      <c r="C1" s="744"/>
      <c r="D1" s="744"/>
      <c r="E1" s="744"/>
      <c r="F1" s="745"/>
      <c r="G1" s="433" t="s">
        <v>244</v>
      </c>
      <c r="H1" s="426"/>
      <c r="I1" s="731">
        <v>129010214</v>
      </c>
      <c r="J1" s="732"/>
      <c r="K1" s="427"/>
      <c r="L1" s="435" t="s">
        <v>245</v>
      </c>
      <c r="M1" s="431">
        <v>1200</v>
      </c>
      <c r="N1" s="427"/>
      <c r="O1" s="435" t="s">
        <v>239</v>
      </c>
      <c r="P1" s="452">
        <v>24178</v>
      </c>
      <c r="Q1" s="428"/>
      <c r="R1" s="344" t="s">
        <v>278</v>
      </c>
      <c r="S1" s="813"/>
      <c r="T1" s="814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60" t="s">
        <v>240</v>
      </c>
      <c r="C2" s="761"/>
      <c r="D2" s="761"/>
      <c r="E2" s="761"/>
      <c r="F2" s="76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7" t="s">
        <v>250</v>
      </c>
      <c r="C3" s="748"/>
      <c r="D3" s="748"/>
      <c r="E3" s="748"/>
      <c r="F3" s="749"/>
      <c r="G3" s="434" t="s">
        <v>238</v>
      </c>
      <c r="H3" s="736"/>
      <c r="I3" s="737"/>
      <c r="J3" s="737"/>
      <c r="K3" s="738"/>
      <c r="L3" s="28" t="s">
        <v>246</v>
      </c>
      <c r="M3" s="733"/>
      <c r="N3" s="734"/>
      <c r="O3" s="734"/>
      <c r="P3" s="735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8">
        <f>+IF(+O174&gt;0,"НЕРАВНЕНИЕ: Касов отчет - Баланс!",0)</f>
        <v>0</v>
      </c>
      <c r="C5" s="708"/>
      <c r="D5" s="764" t="s">
        <v>243</v>
      </c>
      <c r="E5" s="764"/>
      <c r="F5" s="764"/>
      <c r="G5" s="764"/>
      <c r="H5" s="764"/>
      <c r="I5" s="764"/>
      <c r="J5" s="764"/>
      <c r="K5" s="764"/>
      <c r="L5" s="764"/>
      <c r="M5" s="20"/>
      <c r="N5" s="20"/>
      <c r="O5" s="24" t="s">
        <v>17</v>
      </c>
      <c r="P5" s="450">
        <v>2022</v>
      </c>
      <c r="Q5" s="20"/>
      <c r="R5" s="739" t="s">
        <v>180</v>
      </c>
      <c r="S5" s="739"/>
      <c r="T5" s="739"/>
      <c r="U5" s="15"/>
    </row>
    <row r="6" spans="1:28" s="3" customFormat="1" ht="17.25" customHeight="1">
      <c r="A6" s="15"/>
      <c r="B6" s="709">
        <f>+IF(B5=0,0,P5)</f>
        <v>0</v>
      </c>
      <c r="C6" s="709"/>
      <c r="D6" s="764" t="s">
        <v>242</v>
      </c>
      <c r="E6" s="764"/>
      <c r="F6" s="764"/>
      <c r="G6" s="764"/>
      <c r="H6" s="764"/>
      <c r="I6" s="764"/>
      <c r="J6" s="764"/>
      <c r="K6" s="764"/>
      <c r="L6" s="764"/>
      <c r="M6" s="21"/>
      <c r="N6" s="16"/>
      <c r="O6" s="15"/>
      <c r="P6" s="15"/>
      <c r="Q6" s="13"/>
      <c r="R6" s="763">
        <f>+P4</f>
        <v>0</v>
      </c>
      <c r="S6" s="763"/>
      <c r="T6" s="76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46" t="str">
        <f>+B1</f>
        <v>ВОЕННО-ГЕОГРАФСКА СЛУЖБА</v>
      </c>
      <c r="E8" s="746"/>
      <c r="F8" s="746"/>
      <c r="G8" s="746"/>
      <c r="H8" s="746"/>
      <c r="I8" s="746"/>
      <c r="J8" s="746"/>
      <c r="K8" s="746"/>
      <c r="L8" s="746"/>
      <c r="M8" s="432" t="s">
        <v>247</v>
      </c>
      <c r="N8" s="16"/>
      <c r="O8" s="607" t="s">
        <v>367</v>
      </c>
      <c r="P8" s="290" t="s">
        <v>46</v>
      </c>
      <c r="Q8" s="13"/>
      <c r="R8" s="740">
        <f>+P5</f>
        <v>2022</v>
      </c>
      <c r="S8" s="741"/>
      <c r="T8" s="7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51" t="s">
        <v>0</v>
      </c>
      <c r="S10" s="752"/>
      <c r="T10" s="753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30.09.2022 г.</v>
      </c>
      <c r="G11" s="396">
        <f>+P5-1</f>
        <v>2021</v>
      </c>
      <c r="H11" s="15"/>
      <c r="I11" s="604" t="str">
        <f>+O8</f>
        <v>30.09.2022 г.</v>
      </c>
      <c r="J11" s="397">
        <f>+P5-1</f>
        <v>2021</v>
      </c>
      <c r="K11" s="16"/>
      <c r="L11" s="605" t="str">
        <f>+O8</f>
        <v>30.09.2022 г.</v>
      </c>
      <c r="M11" s="398">
        <f>+P5-1</f>
        <v>2021</v>
      </c>
      <c r="N11" s="16"/>
      <c r="O11" s="606" t="str">
        <f>+O8</f>
        <v>30.09.2022 г.</v>
      </c>
      <c r="P11" s="399">
        <f>+P5-1</f>
        <v>2021</v>
      </c>
      <c r="Q11" s="352"/>
      <c r="R11" s="754" t="s">
        <v>181</v>
      </c>
      <c r="S11" s="755"/>
      <c r="T11" s="756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57" t="s">
        <v>149</v>
      </c>
      <c r="S15" s="758"/>
      <c r="T15" s="759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>
        <v>5441</v>
      </c>
      <c r="G16" s="233">
        <v>26291</v>
      </c>
      <c r="H16" s="15"/>
      <c r="I16" s="234"/>
      <c r="J16" s="233"/>
      <c r="K16" s="227"/>
      <c r="L16" s="234"/>
      <c r="M16" s="233"/>
      <c r="N16" s="227"/>
      <c r="O16" s="361">
        <f t="shared" si="0"/>
        <v>5441</v>
      </c>
      <c r="P16" s="384">
        <f t="shared" si="0"/>
        <v>26291</v>
      </c>
      <c r="Q16" s="31"/>
      <c r="R16" s="765" t="s">
        <v>286</v>
      </c>
      <c r="S16" s="766"/>
      <c r="T16" s="76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71" t="s">
        <v>281</v>
      </c>
      <c r="S17" s="772"/>
      <c r="T17" s="773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134</v>
      </c>
      <c r="G18" s="229">
        <v>2113</v>
      </c>
      <c r="H18" s="15"/>
      <c r="I18" s="230"/>
      <c r="J18" s="229"/>
      <c r="K18" s="227"/>
      <c r="L18" s="230"/>
      <c r="M18" s="229"/>
      <c r="N18" s="227"/>
      <c r="O18" s="365">
        <f t="shared" si="0"/>
        <v>134</v>
      </c>
      <c r="P18" s="378">
        <f t="shared" si="0"/>
        <v>2113</v>
      </c>
      <c r="Q18" s="31"/>
      <c r="R18" s="757" t="s">
        <v>150</v>
      </c>
      <c r="S18" s="758"/>
      <c r="T18" s="759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>
        <v>10359</v>
      </c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10359</v>
      </c>
      <c r="Q19" s="31"/>
      <c r="R19" s="768" t="s">
        <v>151</v>
      </c>
      <c r="S19" s="769"/>
      <c r="T19" s="770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68" t="s">
        <v>152</v>
      </c>
      <c r="S20" s="769"/>
      <c r="T20" s="770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68" t="s">
        <v>153</v>
      </c>
      <c r="S21" s="769"/>
      <c r="T21" s="770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68" t="s">
        <v>154</v>
      </c>
      <c r="S22" s="769"/>
      <c r="T22" s="770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68" t="s">
        <v>155</v>
      </c>
      <c r="S23" s="769"/>
      <c r="T23" s="770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1363</v>
      </c>
      <c r="G24" s="233">
        <v>0</v>
      </c>
      <c r="H24" s="15"/>
      <c r="I24" s="234"/>
      <c r="J24" s="233"/>
      <c r="K24" s="227"/>
      <c r="L24" s="666"/>
      <c r="M24" s="233"/>
      <c r="N24" s="227"/>
      <c r="O24" s="361">
        <f t="shared" si="0"/>
        <v>1363</v>
      </c>
      <c r="P24" s="384">
        <f t="shared" si="0"/>
        <v>0</v>
      </c>
      <c r="Q24" s="31"/>
      <c r="R24" s="774" t="s">
        <v>282</v>
      </c>
      <c r="S24" s="775"/>
      <c r="T24" s="776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6938</v>
      </c>
      <c r="G25" s="235">
        <f>+ROUND(+SUM(G15,G16,G18,G19,G20,G21,G22,G23,G24),0)</f>
        <v>38763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6938</v>
      </c>
      <c r="P25" s="363">
        <f>+ROUND(+SUM(P15,P16,P18,P19,P20,P21,P22,P23,P24),0)</f>
        <v>38763</v>
      </c>
      <c r="Q25" s="31"/>
      <c r="R25" s="777" t="s">
        <v>182</v>
      </c>
      <c r="S25" s="778"/>
      <c r="T25" s="779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57" t="s">
        <v>156</v>
      </c>
      <c r="S27" s="758"/>
      <c r="T27" s="75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68" t="s">
        <v>157</v>
      </c>
      <c r="S28" s="769"/>
      <c r="T28" s="770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4" t="s">
        <v>158</v>
      </c>
      <c r="S29" s="775"/>
      <c r="T29" s="776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77" t="s">
        <v>183</v>
      </c>
      <c r="S30" s="778"/>
      <c r="T30" s="779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f>F38+F39</f>
        <v>-3698</v>
      </c>
      <c r="G37" s="247">
        <f>G38+G39</f>
        <v>-2785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-3698</v>
      </c>
      <c r="P37" s="363">
        <f t="shared" si="2"/>
        <v>-2785</v>
      </c>
      <c r="Q37" s="31"/>
      <c r="R37" s="777" t="s">
        <v>184</v>
      </c>
      <c r="S37" s="778"/>
      <c r="T37" s="779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-2650</v>
      </c>
      <c r="G38" s="249">
        <v>-1727</v>
      </c>
      <c r="H38" s="15"/>
      <c r="I38" s="250"/>
      <c r="J38" s="249"/>
      <c r="K38" s="227"/>
      <c r="L38" s="250"/>
      <c r="M38" s="249"/>
      <c r="N38" s="227"/>
      <c r="O38" s="375">
        <f t="shared" si="2"/>
        <v>-2650</v>
      </c>
      <c r="P38" s="413">
        <f t="shared" si="2"/>
        <v>-1727</v>
      </c>
      <c r="Q38" s="31"/>
      <c r="R38" s="780" t="s">
        <v>159</v>
      </c>
      <c r="S38" s="781"/>
      <c r="T38" s="782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-1048</v>
      </c>
      <c r="G39" s="251">
        <v>-1058</v>
      </c>
      <c r="H39" s="15"/>
      <c r="I39" s="252"/>
      <c r="J39" s="251"/>
      <c r="K39" s="227"/>
      <c r="L39" s="252"/>
      <c r="M39" s="251"/>
      <c r="N39" s="227"/>
      <c r="O39" s="376">
        <f t="shared" si="2"/>
        <v>-1048</v>
      </c>
      <c r="P39" s="414">
        <f t="shared" si="2"/>
        <v>-1058</v>
      </c>
      <c r="Q39" s="31"/>
      <c r="R39" s="783" t="s">
        <v>160</v>
      </c>
      <c r="S39" s="784"/>
      <c r="T39" s="785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6" t="s">
        <v>161</v>
      </c>
      <c r="S40" s="787"/>
      <c r="T40" s="788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77" t="s">
        <v>185</v>
      </c>
      <c r="S42" s="778"/>
      <c r="T42" s="779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57" t="s">
        <v>162</v>
      </c>
      <c r="S44" s="758"/>
      <c r="T44" s="75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8" t="s">
        <v>163</v>
      </c>
      <c r="S45" s="769"/>
      <c r="T45" s="770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68" t="s">
        <v>164</v>
      </c>
      <c r="S46" s="769"/>
      <c r="T46" s="770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74" t="s">
        <v>165</v>
      </c>
      <c r="S47" s="775"/>
      <c r="T47" s="776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77" t="s">
        <v>186</v>
      </c>
      <c r="S48" s="778"/>
      <c r="T48" s="779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3240</v>
      </c>
      <c r="G50" s="257">
        <f>+ROUND(G25+G30+G37+G42+G48,0)</f>
        <v>35978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3240</v>
      </c>
      <c r="P50" s="380">
        <f>+ROUND(P25+P30+P37+P42+P48,0)</f>
        <v>35978</v>
      </c>
      <c r="Q50" s="106"/>
      <c r="R50" s="789" t="s">
        <v>187</v>
      </c>
      <c r="S50" s="790"/>
      <c r="T50" s="791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605177</v>
      </c>
      <c r="G53" s="259">
        <v>723005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605177</v>
      </c>
      <c r="P53" s="359">
        <f t="shared" si="4"/>
        <v>723005</v>
      </c>
      <c r="Q53" s="31"/>
      <c r="R53" s="757" t="s">
        <v>188</v>
      </c>
      <c r="S53" s="758"/>
      <c r="T53" s="75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5446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5446</v>
      </c>
      <c r="Q54" s="31"/>
      <c r="R54" s="768" t="s">
        <v>166</v>
      </c>
      <c r="S54" s="769"/>
      <c r="T54" s="770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11818</v>
      </c>
      <c r="G55" s="233">
        <v>10499</v>
      </c>
      <c r="H55" s="15"/>
      <c r="I55" s="234"/>
      <c r="J55" s="233"/>
      <c r="K55" s="227"/>
      <c r="L55" s="234"/>
      <c r="M55" s="233"/>
      <c r="N55" s="227"/>
      <c r="O55" s="361">
        <f t="shared" si="4"/>
        <v>11818</v>
      </c>
      <c r="P55" s="384">
        <f t="shared" si="4"/>
        <v>10499</v>
      </c>
      <c r="Q55" s="31"/>
      <c r="R55" s="768" t="s">
        <v>167</v>
      </c>
      <c r="S55" s="769"/>
      <c r="T55" s="770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f>3059011+952364</f>
        <v>4011375</v>
      </c>
      <c r="G56" s="233">
        <v>5349244</v>
      </c>
      <c r="H56" s="15"/>
      <c r="I56" s="234"/>
      <c r="J56" s="233"/>
      <c r="K56" s="227"/>
      <c r="L56" s="234"/>
      <c r="M56" s="233"/>
      <c r="N56" s="227"/>
      <c r="O56" s="361">
        <f t="shared" si="4"/>
        <v>4011375</v>
      </c>
      <c r="P56" s="384">
        <f t="shared" si="4"/>
        <v>5349244</v>
      </c>
      <c r="Q56" s="31"/>
      <c r="R56" s="768" t="s">
        <v>168</v>
      </c>
      <c r="S56" s="769"/>
      <c r="T56" s="770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1414815</v>
      </c>
      <c r="G57" s="233">
        <v>1960812</v>
      </c>
      <c r="H57" s="15"/>
      <c r="I57" s="234"/>
      <c r="J57" s="233"/>
      <c r="K57" s="227"/>
      <c r="L57" s="234"/>
      <c r="M57" s="233"/>
      <c r="N57" s="227"/>
      <c r="O57" s="361">
        <f t="shared" si="4"/>
        <v>1414815</v>
      </c>
      <c r="P57" s="384">
        <f t="shared" si="4"/>
        <v>1960812</v>
      </c>
      <c r="Q57" s="31"/>
      <c r="R57" s="774" t="s">
        <v>169</v>
      </c>
      <c r="S57" s="775"/>
      <c r="T57" s="776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6043185</v>
      </c>
      <c r="G58" s="261">
        <f>+ROUND(+SUM(G53:G57),0)</f>
        <v>8049006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6043185</v>
      </c>
      <c r="P58" s="382">
        <f>+ROUND(+SUM(P53:P57),0)</f>
        <v>8049006</v>
      </c>
      <c r="Q58" s="31"/>
      <c r="R58" s="777" t="s">
        <v>189</v>
      </c>
      <c r="S58" s="778"/>
      <c r="T58" s="779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7" t="s">
        <v>170</v>
      </c>
      <c r="S60" s="758"/>
      <c r="T60" s="75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>
        <v>81055</v>
      </c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81055</v>
      </c>
      <c r="Q61" s="31"/>
      <c r="R61" s="768" t="s">
        <v>171</v>
      </c>
      <c r="S61" s="769"/>
      <c r="T61" s="770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8448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8448</v>
      </c>
      <c r="Q62" s="31"/>
      <c r="R62" s="768" t="s">
        <v>172</v>
      </c>
      <c r="S62" s="769"/>
      <c r="T62" s="770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4" t="s">
        <v>190</v>
      </c>
      <c r="S63" s="775"/>
      <c r="T63" s="776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89503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89503</v>
      </c>
      <c r="Q65" s="31"/>
      <c r="R65" s="777" t="s">
        <v>192</v>
      </c>
      <c r="S65" s="778"/>
      <c r="T65" s="779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7" t="s">
        <v>173</v>
      </c>
      <c r="S67" s="758"/>
      <c r="T67" s="75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8" t="s">
        <v>174</v>
      </c>
      <c r="S68" s="769"/>
      <c r="T68" s="770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7" t="s">
        <v>193</v>
      </c>
      <c r="S69" s="778"/>
      <c r="T69" s="779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57" t="s">
        <v>175</v>
      </c>
      <c r="S71" s="758"/>
      <c r="T71" s="75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8" t="s">
        <v>176</v>
      </c>
      <c r="S72" s="769"/>
      <c r="T72" s="770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77" t="s">
        <v>194</v>
      </c>
      <c r="S73" s="778"/>
      <c r="T73" s="779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57" t="s">
        <v>177</v>
      </c>
      <c r="S75" s="758"/>
      <c r="T75" s="75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68" t="s">
        <v>195</v>
      </c>
      <c r="S76" s="769"/>
      <c r="T76" s="770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77" t="s">
        <v>196</v>
      </c>
      <c r="S77" s="778"/>
      <c r="T77" s="779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6043185</v>
      </c>
      <c r="G79" s="272">
        <f>+ROUND(G58+G65+G69+G73+G77,0)</f>
        <v>8138509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6043185</v>
      </c>
      <c r="P79" s="392">
        <f>+ROUND(P58+P65+P69+P73+P77,0)</f>
        <v>8138509</v>
      </c>
      <c r="Q79" s="31"/>
      <c r="R79" s="792" t="s">
        <v>197</v>
      </c>
      <c r="S79" s="793"/>
      <c r="T79" s="794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f>6041564</f>
        <v>6041564</v>
      </c>
      <c r="G81" s="229">
        <v>8102531</v>
      </c>
      <c r="H81" s="15"/>
      <c r="I81" s="230"/>
      <c r="J81" s="229"/>
      <c r="K81" s="227"/>
      <c r="L81" s="230"/>
      <c r="M81" s="229"/>
      <c r="N81" s="227"/>
      <c r="O81" s="365">
        <f>+ROUND(+F81+I81+L81,0)</f>
        <v>6041564</v>
      </c>
      <c r="P81" s="378">
        <f>+ROUND(+G81+J81+M81,0)</f>
        <v>8102531</v>
      </c>
      <c r="Q81" s="31"/>
      <c r="R81" s="757" t="s">
        <v>178</v>
      </c>
      <c r="S81" s="758"/>
      <c r="T81" s="75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8" t="s">
        <v>179</v>
      </c>
      <c r="S82" s="769"/>
      <c r="T82" s="770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6041564</v>
      </c>
      <c r="G83" s="270">
        <f>+ROUND(G81+G82,0)</f>
        <v>8102531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6041564</v>
      </c>
      <c r="P83" s="387">
        <f>+ROUND(P81+P82,0)</f>
        <v>8102531</v>
      </c>
      <c r="Q83" s="31"/>
      <c r="R83" s="795" t="s">
        <v>198</v>
      </c>
      <c r="S83" s="796"/>
      <c r="T83" s="797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9"/>
      <c r="D84" s="730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1619</v>
      </c>
      <c r="G85" s="291">
        <f>+ROUND(G50,0)-ROUND(G79,0)+ROUND(G83,0)</f>
        <v>0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1619</v>
      </c>
      <c r="P85" s="389">
        <f>+ROUND(P50,0)-ROUND(P79,0)+ROUND(P83,0)</f>
        <v>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-1619</v>
      </c>
      <c r="G86" s="293">
        <f>+ROUND(G103,0)+ROUND(G122,0)+ROUND(G129,0)-ROUND(G134,0)</f>
        <v>0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-1619</v>
      </c>
      <c r="P86" s="391">
        <f>+ROUND(P103,0)+ROUND(P122,0)+ROUND(P129,0)-ROUND(P134,0)</f>
        <v>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57" t="s">
        <v>199</v>
      </c>
      <c r="S89" s="758"/>
      <c r="T89" s="75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8" t="s">
        <v>200</v>
      </c>
      <c r="S90" s="769"/>
      <c r="T90" s="770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77" t="s">
        <v>201</v>
      </c>
      <c r="S91" s="778"/>
      <c r="T91" s="779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7" t="s">
        <v>202</v>
      </c>
      <c r="S93" s="758"/>
      <c r="T93" s="75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8" t="s">
        <v>203</v>
      </c>
      <c r="S94" s="769"/>
      <c r="T94" s="770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8" t="s">
        <v>204</v>
      </c>
      <c r="S95" s="769"/>
      <c r="T95" s="770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4" t="s">
        <v>205</v>
      </c>
      <c r="S96" s="775"/>
      <c r="T96" s="776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7" t="s">
        <v>206</v>
      </c>
      <c r="S97" s="778"/>
      <c r="T97" s="779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57" t="s">
        <v>207</v>
      </c>
      <c r="S99" s="758"/>
      <c r="T99" s="75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68" t="s">
        <v>208</v>
      </c>
      <c r="S100" s="769"/>
      <c r="T100" s="770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77" t="s">
        <v>209</v>
      </c>
      <c r="S101" s="778"/>
      <c r="T101" s="779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89" t="s">
        <v>210</v>
      </c>
      <c r="S103" s="790"/>
      <c r="T103" s="791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7" t="s">
        <v>211</v>
      </c>
      <c r="S106" s="758"/>
      <c r="T106" s="75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8" t="s">
        <v>212</v>
      </c>
      <c r="S107" s="769"/>
      <c r="T107" s="770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7" t="s">
        <v>213</v>
      </c>
      <c r="S108" s="778"/>
      <c r="T108" s="779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4" t="s">
        <v>214</v>
      </c>
      <c r="S110" s="805"/>
      <c r="T110" s="80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7" t="s">
        <v>215</v>
      </c>
      <c r="S111" s="808"/>
      <c r="T111" s="80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7" t="s">
        <v>216</v>
      </c>
      <c r="S112" s="778"/>
      <c r="T112" s="779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7" t="s">
        <v>217</v>
      </c>
      <c r="S114" s="758"/>
      <c r="T114" s="75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68" t="s">
        <v>218</v>
      </c>
      <c r="S115" s="769"/>
      <c r="T115" s="770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77" t="s">
        <v>219</v>
      </c>
      <c r="S116" s="778"/>
      <c r="T116" s="779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15277</v>
      </c>
      <c r="M118" s="259">
        <v>-2083</v>
      </c>
      <c r="N118" s="227"/>
      <c r="O118" s="366">
        <f>+ROUND(+F118+I118+L118,0)</f>
        <v>15277</v>
      </c>
      <c r="P118" s="359">
        <f>+ROUND(+G118+J118+M118,0)</f>
        <v>-2083</v>
      </c>
      <c r="Q118" s="31"/>
      <c r="R118" s="757" t="s">
        <v>220</v>
      </c>
      <c r="S118" s="758"/>
      <c r="T118" s="75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8" t="s">
        <v>221</v>
      </c>
      <c r="S119" s="769"/>
      <c r="T119" s="770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15277</v>
      </c>
      <c r="M120" s="261">
        <f>+ROUND(+SUM(M118:M119),0)</f>
        <v>-2083</v>
      </c>
      <c r="N120" s="227"/>
      <c r="O120" s="381">
        <f>+ROUND(+SUM(O118:O119),0)</f>
        <v>15277</v>
      </c>
      <c r="P120" s="382">
        <f>+ROUND(+SUM(P118:P119),0)</f>
        <v>-2083</v>
      </c>
      <c r="Q120" s="31"/>
      <c r="R120" s="777" t="s">
        <v>222</v>
      </c>
      <c r="S120" s="778"/>
      <c r="T120" s="779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15277</v>
      </c>
      <c r="M122" s="272">
        <f>+ROUND(M108+M112+M116+M120,0)</f>
        <v>-2083</v>
      </c>
      <c r="N122" s="227"/>
      <c r="O122" s="385">
        <f>+ROUND(O108+O112+O116+O120,0)</f>
        <v>15277</v>
      </c>
      <c r="P122" s="392">
        <f>+ROUND(P108+P112+P116+P120,0)</f>
        <v>-2083</v>
      </c>
      <c r="Q122" s="31"/>
      <c r="R122" s="792" t="s">
        <v>223</v>
      </c>
      <c r="S122" s="793"/>
      <c r="T122" s="794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7" t="s">
        <v>224</v>
      </c>
      <c r="S124" s="758"/>
      <c r="T124" s="75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/>
      <c r="G125" s="233"/>
      <c r="H125" s="15"/>
      <c r="I125" s="234"/>
      <c r="J125" s="233"/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68" t="s">
        <v>225</v>
      </c>
      <c r="S125" s="769"/>
      <c r="T125" s="770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98" t="s">
        <v>288</v>
      </c>
      <c r="S126" s="799"/>
      <c r="T126" s="80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10" t="s">
        <v>284</v>
      </c>
      <c r="S127" s="811"/>
      <c r="T127" s="81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801" t="s">
        <v>226</v>
      </c>
      <c r="S128" s="802"/>
      <c r="T128" s="803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0</v>
      </c>
      <c r="G129" s="270">
        <f>+ROUND(+SUM(G124,G125,G126,G128),0)</f>
        <v>0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95" t="s">
        <v>227</v>
      </c>
      <c r="S129" s="796"/>
      <c r="T129" s="797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/>
      <c r="G131" s="229"/>
      <c r="H131" s="15"/>
      <c r="I131" s="230"/>
      <c r="J131" s="229"/>
      <c r="K131" s="227"/>
      <c r="L131" s="230"/>
      <c r="M131" s="229">
        <v>2083</v>
      </c>
      <c r="N131" s="227"/>
      <c r="O131" s="365">
        <f aca="true" t="shared" si="8" ref="O131:P133">+ROUND(+F131+I131+L131,0)</f>
        <v>0</v>
      </c>
      <c r="P131" s="378">
        <f t="shared" si="8"/>
        <v>2083</v>
      </c>
      <c r="Q131" s="31"/>
      <c r="R131" s="757" t="s">
        <v>228</v>
      </c>
      <c r="S131" s="758"/>
      <c r="T131" s="75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8" t="s">
        <v>229</v>
      </c>
      <c r="S132" s="769"/>
      <c r="T132" s="770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1619</v>
      </c>
      <c r="G133" s="233"/>
      <c r="H133" s="15"/>
      <c r="I133" s="234"/>
      <c r="J133" s="233"/>
      <c r="K133" s="227"/>
      <c r="L133" s="234">
        <v>15277</v>
      </c>
      <c r="M133" s="233"/>
      <c r="N133" s="227"/>
      <c r="O133" s="361">
        <f t="shared" si="8"/>
        <v>16896</v>
      </c>
      <c r="P133" s="384">
        <f t="shared" si="8"/>
        <v>0</v>
      </c>
      <c r="Q133" s="31"/>
      <c r="R133" s="818" t="s">
        <v>230</v>
      </c>
      <c r="S133" s="819"/>
      <c r="T133" s="820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1619</v>
      </c>
      <c r="G134" s="275">
        <f>+ROUND(+G133-G131-G132,0)</f>
        <v>0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15277</v>
      </c>
      <c r="M134" s="275">
        <f>+ROUND(+M133-M131-M132,0)</f>
        <v>-2083</v>
      </c>
      <c r="N134" s="227"/>
      <c r="O134" s="394">
        <f>+ROUND(+O133-O131-O132,0)</f>
        <v>16896</v>
      </c>
      <c r="P134" s="395">
        <f>+ROUND(+P133-P131-P132,0)</f>
        <v>-2083</v>
      </c>
      <c r="Q134" s="31"/>
      <c r="R134" s="815" t="s">
        <v>297</v>
      </c>
      <c r="S134" s="816"/>
      <c r="T134" s="81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5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50"/>
      <c r="D135" s="750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10" t="s">
        <v>323</v>
      </c>
      <c r="S137" s="711"/>
      <c r="T137" s="712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13" t="s">
        <v>320</v>
      </c>
      <c r="S138" s="714"/>
      <c r="T138" s="715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6" t="s">
        <v>319</v>
      </c>
      <c r="S139" s="717"/>
      <c r="T139" s="718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9" t="s">
        <v>298</v>
      </c>
      <c r="S140" s="720"/>
      <c r="T140" s="721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1619</v>
      </c>
      <c r="G142" s="539">
        <f>+G134+G140</f>
        <v>0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15277</v>
      </c>
      <c r="M142" s="539">
        <f>+M134+M140</f>
        <v>-2083</v>
      </c>
      <c r="N142" s="227"/>
      <c r="O142" s="394">
        <f>+O134+O140</f>
        <v>16896</v>
      </c>
      <c r="P142" s="395">
        <f>+P134+P140</f>
        <v>-2083</v>
      </c>
      <c r="Q142" s="31"/>
      <c r="R142" s="722" t="s">
        <v>300</v>
      </c>
      <c r="S142" s="723"/>
      <c r="T142" s="724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4102022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67"/>
      <c r="G148" s="668"/>
      <c r="H148" s="668"/>
      <c r="I148" s="669"/>
      <c r="J148" s="346"/>
      <c r="K148" s="16"/>
      <c r="L148" s="346" t="s">
        <v>234</v>
      </c>
      <c r="M148" s="725"/>
      <c r="N148" s="726"/>
      <c r="O148" s="726"/>
      <c r="P148" s="727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1619</v>
      </c>
      <c r="G160" s="580">
        <f>+G133+G139</f>
        <v>0</v>
      </c>
      <c r="I160" s="579">
        <f>+I133+I139</f>
        <v>0</v>
      </c>
      <c r="J160" s="580">
        <f>+J133+J139</f>
        <v>0</v>
      </c>
      <c r="K160" s="227"/>
      <c r="L160" s="579">
        <f>+L133+L139</f>
        <v>15277</v>
      </c>
      <c r="M160" s="580">
        <f>+M133+M139</f>
        <v>0</v>
      </c>
      <c r="N160" s="227"/>
      <c r="O160" s="583">
        <f>+ROUND(+F160+I160+L160,0)</f>
        <v>16896</v>
      </c>
      <c r="P160" s="584">
        <f>+ROUND(+G160+J160+M160,0)</f>
        <v>0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06">
        <f>+'Cash-Flow-2022-Leva'!P5</f>
        <v>2022</v>
      </c>
      <c r="D161" s="707"/>
      <c r="F161" s="576">
        <v>1619</v>
      </c>
      <c r="G161" s="577"/>
      <c r="I161" s="576"/>
      <c r="J161" s="577"/>
      <c r="K161" s="227"/>
      <c r="L161" s="576">
        <v>15277</v>
      </c>
      <c r="M161" s="577"/>
      <c r="N161" s="227"/>
      <c r="O161" s="585">
        <f>+ROUND(+F161+I161+L161,0)</f>
        <v>16896</v>
      </c>
      <c r="P161" s="586">
        <f>+ROUND(+G161+J161+M161,0)</f>
        <v>0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30.09.2022 г.</v>
      </c>
      <c r="G162" s="570">
        <f>+G11</f>
        <v>2021</v>
      </c>
      <c r="I162" s="609" t="str">
        <f>+I11</f>
        <v>30.09.2022 г.</v>
      </c>
      <c r="J162" s="572">
        <f>+J11</f>
        <v>2021</v>
      </c>
      <c r="K162" s="11"/>
      <c r="L162" s="610" t="str">
        <f>+L11</f>
        <v>30.09.2022 г.</v>
      </c>
      <c r="M162" s="575">
        <f>+M11</f>
        <v>2021</v>
      </c>
      <c r="N162" s="11"/>
      <c r="O162" s="611" t="str">
        <f>+O11</f>
        <v>30.09.2022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22">
        <f>+IF(F171&gt;0,"БЮДЖЕТ",0)</f>
        <v>0</v>
      </c>
      <c r="G170" s="822"/>
      <c r="I170" s="822">
        <f>+IF(I171&gt;0,"СЕС",0)</f>
        <v>0</v>
      </c>
      <c r="J170" s="822"/>
      <c r="K170" s="11"/>
      <c r="L170" s="822">
        <f>+IF(L171&gt;0,"ДСД",0)</f>
        <v>0</v>
      </c>
      <c r="M170" s="822"/>
      <c r="N170" s="11"/>
      <c r="O170" s="822">
        <f>+IF(O171&gt;0,"Общо (Б-т + СЕС + ДСД)",0)</f>
        <v>0</v>
      </c>
      <c r="P170" s="822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22">
        <f>+COUNTIF(F168:G168,"&lt;&gt;0")</f>
        <v>0</v>
      </c>
      <c r="G171" s="822"/>
      <c r="I171" s="822">
        <f>+COUNTIF(I168:J168,"&lt;&gt;0")</f>
        <v>0</v>
      </c>
      <c r="J171" s="822"/>
      <c r="K171" s="11"/>
      <c r="L171" s="822">
        <f>+COUNTIF(L168:M168,"&lt;&gt;0")</f>
        <v>0</v>
      </c>
      <c r="M171" s="822"/>
      <c r="N171" s="11"/>
      <c r="O171" s="822">
        <f>+COUNTIF(O168:P168,"&lt;&gt;0")</f>
        <v>0</v>
      </c>
      <c r="P171" s="822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21">
        <f>+IF(O174&gt;0,"ВСИЧКО: Б-т + СЕС + ДСД + Общо",0)</f>
        <v>0</v>
      </c>
      <c r="P173" s="821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21">
        <f>+SUM(F171:P171)</f>
        <v>0</v>
      </c>
      <c r="P174" s="821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1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97:T97"/>
    <mergeCell ref="R99:T99"/>
    <mergeCell ref="R100:T100"/>
    <mergeCell ref="R101:T101"/>
    <mergeCell ref="R103:T103"/>
    <mergeCell ref="R114:T114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77:T77"/>
    <mergeCell ref="R79:T79"/>
    <mergeCell ref="R81:T81"/>
    <mergeCell ref="R82:T82"/>
    <mergeCell ref="R83:T83"/>
    <mergeCell ref="R89:T89"/>
    <mergeCell ref="R69:T69"/>
    <mergeCell ref="R71:T71"/>
    <mergeCell ref="R72:T72"/>
    <mergeCell ref="R73:T73"/>
    <mergeCell ref="R75:T75"/>
    <mergeCell ref="R76:T76"/>
    <mergeCell ref="R61:T61"/>
    <mergeCell ref="R62:T62"/>
    <mergeCell ref="R63:T63"/>
    <mergeCell ref="R65:T65"/>
    <mergeCell ref="R67:T67"/>
    <mergeCell ref="R68:T68"/>
    <mergeCell ref="R54:T54"/>
    <mergeCell ref="R55:T55"/>
    <mergeCell ref="R56:T56"/>
    <mergeCell ref="R57:T57"/>
    <mergeCell ref="R58:T58"/>
    <mergeCell ref="R60:T60"/>
    <mergeCell ref="R45:T45"/>
    <mergeCell ref="R46:T46"/>
    <mergeCell ref="R47:T47"/>
    <mergeCell ref="R48:T48"/>
    <mergeCell ref="R50:T50"/>
    <mergeCell ref="R53:T53"/>
    <mergeCell ref="R37:T37"/>
    <mergeCell ref="R38:T38"/>
    <mergeCell ref="R39:T39"/>
    <mergeCell ref="R40:T40"/>
    <mergeCell ref="R42:T42"/>
    <mergeCell ref="R44:T44"/>
    <mergeCell ref="R24:T24"/>
    <mergeCell ref="R25:T25"/>
    <mergeCell ref="R27:T27"/>
    <mergeCell ref="R28:T28"/>
    <mergeCell ref="R29:T29"/>
    <mergeCell ref="R30:T30"/>
    <mergeCell ref="R19:T19"/>
    <mergeCell ref="R20:T20"/>
    <mergeCell ref="R21:T21"/>
    <mergeCell ref="R22:T22"/>
    <mergeCell ref="R17:T17"/>
    <mergeCell ref="R23:T23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B84:D84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52 K113:L117 K155:L155 K30:L36 K149:L149 K97:L111 K134:L134 K130:L130 K25 K62:L63 K151:L152 K150 N151:O152 N150 K65:L83 K64 K54:L54 K53 K58:L60 K55 K56 K57 K133 K119:L126 K118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view="pageBreakPreview" zoomScale="6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IV1638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3" t="str">
        <f>+'Cash-Flow-2022-Leva'!B1:F1</f>
        <v>ВОЕННО-ГЕОГРАФСКА СЛУЖБА</v>
      </c>
      <c r="C1" s="824"/>
      <c r="D1" s="824"/>
      <c r="E1" s="824"/>
      <c r="F1" s="825"/>
      <c r="G1" s="438" t="s">
        <v>244</v>
      </c>
      <c r="H1" s="121"/>
      <c r="I1" s="826">
        <f>+'Cash-Flow-2022-Leva'!I1:J1</f>
        <v>129010214</v>
      </c>
      <c r="J1" s="827"/>
      <c r="K1" s="439"/>
      <c r="L1" s="440" t="s">
        <v>245</v>
      </c>
      <c r="M1" s="441">
        <f>+'Cash-Flow-2022-Leva'!M1</f>
        <v>1200</v>
      </c>
      <c r="N1" s="439"/>
      <c r="O1" s="440" t="s">
        <v>239</v>
      </c>
      <c r="P1" s="451">
        <f>+'Cash-Flow-2022-Leva'!P1</f>
        <v>24178</v>
      </c>
      <c r="Q1" s="444"/>
      <c r="R1" s="448" t="s">
        <v>233</v>
      </c>
      <c r="S1" s="828">
        <f>+'Cash-Flow-2022-Leva'!$S$1</f>
        <v>0</v>
      </c>
      <c r="T1" s="829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0" t="s">
        <v>249</v>
      </c>
      <c r="C2" s="831"/>
      <c r="D2" s="831"/>
      <c r="E2" s="831"/>
      <c r="F2" s="832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3" t="str">
        <f>+'Cash-Flow-2022-Leva'!B3:F3</f>
        <v>[Седалище и адрес]</v>
      </c>
      <c r="C3" s="834"/>
      <c r="D3" s="834"/>
      <c r="E3" s="834"/>
      <c r="F3" s="835"/>
      <c r="G3" s="445" t="s">
        <v>238</v>
      </c>
      <c r="H3" s="836">
        <f>+'Cash-Flow-2022-Leva'!H3</f>
        <v>0</v>
      </c>
      <c r="I3" s="837"/>
      <c r="J3" s="837"/>
      <c r="K3" s="838"/>
      <c r="L3" s="51" t="s">
        <v>246</v>
      </c>
      <c r="M3" s="839">
        <f>+'Cash-Flow-2022-Leva'!M3:P3</f>
        <v>0</v>
      </c>
      <c r="N3" s="840"/>
      <c r="O3" s="840"/>
      <c r="P3" s="841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8">
        <f>+'Cash-Flow-2022-Leva'!B5</f>
        <v>0</v>
      </c>
      <c r="C5" s="708"/>
      <c r="D5" s="843" t="s">
        <v>243</v>
      </c>
      <c r="E5" s="843"/>
      <c r="F5" s="843"/>
      <c r="G5" s="843"/>
      <c r="H5" s="843"/>
      <c r="I5" s="843"/>
      <c r="J5" s="843"/>
      <c r="K5" s="843"/>
      <c r="L5" s="843"/>
      <c r="M5" s="39"/>
      <c r="N5" s="39"/>
      <c r="O5" s="53" t="s">
        <v>17</v>
      </c>
      <c r="P5" s="449">
        <f>+'Cash-Flow-2022-Leva'!P5</f>
        <v>2022</v>
      </c>
      <c r="Q5" s="39"/>
      <c r="R5" s="842" t="s">
        <v>180</v>
      </c>
      <c r="S5" s="842"/>
      <c r="T5" s="842"/>
      <c r="U5" s="6"/>
    </row>
    <row r="6" spans="1:28" s="3" customFormat="1" ht="17.25" customHeight="1">
      <c r="A6" s="6"/>
      <c r="B6" s="851">
        <f>+'Cash-Flow-2022-Leva'!B6</f>
        <v>0</v>
      </c>
      <c r="C6" s="851"/>
      <c r="D6" s="843" t="s">
        <v>242</v>
      </c>
      <c r="E6" s="843"/>
      <c r="F6" s="843"/>
      <c r="G6" s="843"/>
      <c r="H6" s="843"/>
      <c r="I6" s="843"/>
      <c r="J6" s="843"/>
      <c r="K6" s="843"/>
      <c r="L6" s="843"/>
      <c r="M6" s="42"/>
      <c r="N6" s="5"/>
      <c r="O6" s="6"/>
      <c r="P6" s="6"/>
      <c r="Q6" s="1"/>
      <c r="R6" s="844">
        <f>+P4</f>
        <v>0</v>
      </c>
      <c r="S6" s="844"/>
      <c r="T6" s="84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5" t="str">
        <f>+B1</f>
        <v>ВОЕННО-ГЕОГРАФСКА СЛУЖБА</v>
      </c>
      <c r="E8" s="845"/>
      <c r="F8" s="845"/>
      <c r="G8" s="845"/>
      <c r="H8" s="845"/>
      <c r="I8" s="845"/>
      <c r="J8" s="845"/>
      <c r="K8" s="845"/>
      <c r="L8" s="845"/>
      <c r="M8" s="446" t="s">
        <v>247</v>
      </c>
      <c r="N8" s="5"/>
      <c r="O8" s="612" t="str">
        <f>+'Cash-Flow-2022-Leva'!O8</f>
        <v>30.09.2022 г.</v>
      </c>
      <c r="P8" s="447" t="s">
        <v>8</v>
      </c>
      <c r="Q8" s="1"/>
      <c r="R8" s="846">
        <f>+P5</f>
        <v>2022</v>
      </c>
      <c r="S8" s="847"/>
      <c r="T8" s="84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30.09.2022 г.</v>
      </c>
      <c r="G11" s="396">
        <f>+'Cash-Flow-2022-Leva'!G11</f>
        <v>2021</v>
      </c>
      <c r="H11" s="5"/>
      <c r="I11" s="604" t="str">
        <f>+O8</f>
        <v>30.09.2022 г.</v>
      </c>
      <c r="J11" s="397">
        <f>+'Cash-Flow-2022-Leva'!J11</f>
        <v>2021</v>
      </c>
      <c r="K11" s="5"/>
      <c r="L11" s="605" t="str">
        <f>+O8</f>
        <v>30.09.2022 г.</v>
      </c>
      <c r="M11" s="398">
        <f>+'Cash-Flow-2022-Leva'!M11</f>
        <v>2021</v>
      </c>
      <c r="N11" s="464"/>
      <c r="O11" s="606" t="str">
        <f>+O8</f>
        <v>30.09.2022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5.441</v>
      </c>
      <c r="G16" s="267">
        <f>+'Cash-Flow-2022-Leva'!G16/1000</f>
        <v>26.291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5.441</v>
      </c>
      <c r="P16" s="384">
        <f t="shared" si="1"/>
        <v>26.291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0.134</v>
      </c>
      <c r="G18" s="255">
        <f>+'Cash-Flow-2022-Leva'!G18/1000</f>
        <v>2.113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0.134</v>
      </c>
      <c r="P18" s="378">
        <f t="shared" si="1"/>
        <v>2.113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10.359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10.359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0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1.363</v>
      </c>
      <c r="G24" s="267">
        <f>+'Cash-Flow-2022-Leva'!G24/1000</f>
        <v>0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1.363</v>
      </c>
      <c r="P24" s="384">
        <f t="shared" si="1"/>
        <v>0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6.938000000000001</v>
      </c>
      <c r="G25" s="235">
        <f>+SUM(G15,G16,G18,G19,G20,G21,G22,G23,G24)</f>
        <v>38.763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6.938000000000001</v>
      </c>
      <c r="P25" s="363">
        <f>+SUM(P15,P16,P18,P19,P20,P21,P22,P23,P24)</f>
        <v>38.763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-3.698</v>
      </c>
      <c r="G37" s="235">
        <f>+'Cash-Flow-2022-Leva'!G37/1000</f>
        <v>-2.785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-3.698</v>
      </c>
      <c r="P37" s="363">
        <f t="shared" si="3"/>
        <v>-2.785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-2.65</v>
      </c>
      <c r="G38" s="280">
        <f>+'Cash-Flow-2022-Leva'!G38/1000</f>
        <v>-1.727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-2.65</v>
      </c>
      <c r="P38" s="413">
        <f t="shared" si="3"/>
        <v>-1.727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-1.048</v>
      </c>
      <c r="G39" s="282">
        <f>+'Cash-Flow-2022-Leva'!G39/1000</f>
        <v>-1.058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-1.048</v>
      </c>
      <c r="P39" s="414">
        <f t="shared" si="3"/>
        <v>-1.058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3.2400000000000007</v>
      </c>
      <c r="G50" s="257">
        <f>+G25+G30+G37+G42+G48</f>
        <v>35.977999999999994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3.2400000000000007</v>
      </c>
      <c r="P50" s="380">
        <f>+P25+P30+P37+P42+P48</f>
        <v>35.977999999999994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605.177</v>
      </c>
      <c r="G53" s="228">
        <f>+'Cash-Flow-2022-Leva'!G53/1000</f>
        <v>723.005</v>
      </c>
      <c r="H53" s="277"/>
      <c r="I53" s="238">
        <f>+'Cash-Flow-2022-Leva'!I53/1000</f>
        <v>0</v>
      </c>
      <c r="J53" s="228">
        <f>+'Cash-Flow-2022-Leva'!J53/1000</f>
        <v>0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605.177</v>
      </c>
      <c r="P53" s="359">
        <f t="shared" si="5"/>
        <v>723.005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0</v>
      </c>
      <c r="G54" s="267">
        <f>+'Cash-Flow-2022-Leva'!G54/1000</f>
        <v>5.446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0</v>
      </c>
      <c r="P54" s="384">
        <f t="shared" si="5"/>
        <v>5.446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11.818</v>
      </c>
      <c r="G55" s="267">
        <f>+'Cash-Flow-2022-Leva'!G55/1000</f>
        <v>10.499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11.818</v>
      </c>
      <c r="P55" s="384">
        <f t="shared" si="5"/>
        <v>10.499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4011.375</v>
      </c>
      <c r="G56" s="267">
        <f>+'Cash-Flow-2022-Leva'!G56/1000</f>
        <v>5349.244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4011.375</v>
      </c>
      <c r="P56" s="384">
        <f t="shared" si="5"/>
        <v>5349.244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1414.815</v>
      </c>
      <c r="G57" s="267">
        <f>+'Cash-Flow-2022-Leva'!G57/1000</f>
        <v>1960.812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1414.815</v>
      </c>
      <c r="P57" s="384">
        <f t="shared" si="5"/>
        <v>1960.812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6043.1849999999995</v>
      </c>
      <c r="G58" s="261">
        <f>+SUM(G53:G57)</f>
        <v>8049.005999999999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6043.1849999999995</v>
      </c>
      <c r="P58" s="382">
        <f>+SUM(P53:P57)</f>
        <v>8049.005999999999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81.055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81.055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8.448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8.448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89.50300000000001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0</v>
      </c>
      <c r="P65" s="382">
        <f>+SUM(P60:P63)</f>
        <v>89.50300000000001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0</v>
      </c>
      <c r="G71" s="228">
        <f>+'Cash-Flow-2022-Leva'!G71/1000</f>
        <v>0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6043.1849999999995</v>
      </c>
      <c r="G79" s="272">
        <f>+G58+G65+G69+G73+G77</f>
        <v>8138.508999999999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6043.1849999999995</v>
      </c>
      <c r="P79" s="392">
        <f>+P58+P65+P69+P73+P77</f>
        <v>8138.508999999999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6041.564</v>
      </c>
      <c r="G81" s="255">
        <f>+'Cash-Flow-2022-Leva'!G81/1000</f>
        <v>8102.531</v>
      </c>
      <c r="H81" s="277"/>
      <c r="I81" s="256">
        <f>+'Cash-Flow-2022-Leva'!I81/1000</f>
        <v>0</v>
      </c>
      <c r="J81" s="255">
        <f>+'Cash-Flow-2022-Leva'!J81/1000</f>
        <v>0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6041.564</v>
      </c>
      <c r="P81" s="378">
        <f>+G81+J81+M81</f>
        <v>8102.531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6041.564</v>
      </c>
      <c r="G83" s="270">
        <f>+G81+G82</f>
        <v>8102.531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6041.564</v>
      </c>
      <c r="P83" s="387">
        <f>+P81+P82</f>
        <v>8102.531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5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50"/>
      <c r="D84" s="850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1.6190000000005966</v>
      </c>
      <c r="G85" s="291">
        <f>+G50-G79+G83</f>
        <v>0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1.6190000000005966</v>
      </c>
      <c r="P85" s="389">
        <f>+P50-P79+P83</f>
        <v>0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-1.619</v>
      </c>
      <c r="G86" s="293">
        <f>+G103+G122+G129-G134</f>
        <v>0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-1.6190000000000015</v>
      </c>
      <c r="P86" s="391">
        <f>+P103+P122+P129-P134</f>
        <v>0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15.277</v>
      </c>
      <c r="M118" s="228">
        <f>+'Cash-Flow-2022-Leva'!M118/1000</f>
        <v>-2.083</v>
      </c>
      <c r="N118" s="465"/>
      <c r="O118" s="366">
        <f>+F118+I118+L118</f>
        <v>15.277</v>
      </c>
      <c r="P118" s="359">
        <f>+G118+J118+M118</f>
        <v>-2.083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15.277</v>
      </c>
      <c r="M120" s="261">
        <f>+SUM(M118:M119)</f>
        <v>-2.083</v>
      </c>
      <c r="N120" s="465"/>
      <c r="O120" s="381">
        <f>+SUM(O118:O119)</f>
        <v>15.277</v>
      </c>
      <c r="P120" s="382">
        <f>+SUM(P118:P119)</f>
        <v>-2.083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15.277</v>
      </c>
      <c r="M122" s="272">
        <f>+M108+M112+M116+M120</f>
        <v>-2.083</v>
      </c>
      <c r="N122" s="465"/>
      <c r="O122" s="385">
        <f>+O108+O112+O116+O120</f>
        <v>15.277</v>
      </c>
      <c r="P122" s="392">
        <f>+P108+P112+P116+P120</f>
        <v>-2.083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0</v>
      </c>
      <c r="G125" s="267">
        <f>+'Cash-Flow-2022-Leva'!G125/1000</f>
        <v>0</v>
      </c>
      <c r="H125" s="277"/>
      <c r="I125" s="268">
        <f>+'Cash-Flow-2022-Leva'!I125/1000</f>
        <v>0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0</v>
      </c>
      <c r="G129" s="270">
        <f>+SUM(G124,G125,G126,G128)</f>
        <v>0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0</v>
      </c>
      <c r="G131" s="255">
        <f>+'Cash-Flow-2022-Leva'!G131/1000</f>
        <v>0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0</v>
      </c>
      <c r="M131" s="255">
        <f>+'Cash-Flow-2022-Leva'!M131/1000</f>
        <v>2.083</v>
      </c>
      <c r="N131" s="465"/>
      <c r="O131" s="365">
        <f aca="true" t="shared" si="9" ref="O131:P133">+F131+I131+L131</f>
        <v>0</v>
      </c>
      <c r="P131" s="378">
        <f t="shared" si="9"/>
        <v>2.083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1.619</v>
      </c>
      <c r="G133" s="267">
        <f>+'Cash-Flow-2022-Leva'!G133/1000</f>
        <v>0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15.277</v>
      </c>
      <c r="M133" s="267">
        <f>+'Cash-Flow-2022-Leva'!M133/1000</f>
        <v>0</v>
      </c>
      <c r="N133" s="465"/>
      <c r="O133" s="361">
        <f t="shared" si="9"/>
        <v>16.896</v>
      </c>
      <c r="P133" s="384">
        <f t="shared" si="9"/>
        <v>0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1.619</v>
      </c>
      <c r="G134" s="275">
        <f>+G133-G131-G132</f>
        <v>0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15.277</v>
      </c>
      <c r="M134" s="275">
        <f>+M133-M131-M132</f>
        <v>-2.083</v>
      </c>
      <c r="N134" s="465"/>
      <c r="O134" s="394">
        <f>+O133-O131-O132</f>
        <v>16.896</v>
      </c>
      <c r="P134" s="395">
        <f>+P133-P131-P132</f>
        <v>-2.083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9"/>
      <c r="D135" s="849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1.619</v>
      </c>
      <c r="G142" s="275">
        <f>+G134+G140</f>
        <v>0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15.277</v>
      </c>
      <c r="M142" s="539">
        <f>+M134+M140</f>
        <v>-2.083</v>
      </c>
      <c r="N142" s="465"/>
      <c r="O142" s="563">
        <f>+O134+O140</f>
        <v>16.896</v>
      </c>
      <c r="P142" s="564">
        <f>+P134+P140</f>
        <v>-2.083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4102022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2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Plamen R. Petrov</cp:lastModifiedBy>
  <cp:lastPrinted>2022-09-01T08:37:44Z</cp:lastPrinted>
  <dcterms:created xsi:type="dcterms:W3CDTF">2015-12-01T07:17:04Z</dcterms:created>
  <dcterms:modified xsi:type="dcterms:W3CDTF">2022-10-21T10:07:29Z</dcterms:modified>
  <cp:category/>
  <cp:version/>
  <cp:contentType/>
  <cp:contentStatus/>
</cp:coreProperties>
</file>